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shizuoka052\Desktop\"/>
    </mc:Choice>
  </mc:AlternateContent>
  <bookViews>
    <workbookView xWindow="0" yWindow="0" windowWidth="17250" windowHeight="10830" tabRatio="908" firstSheet="10" activeTab="10"/>
  </bookViews>
  <sheets>
    <sheet name="dSHEET" sheetId="1" state="hidden" r:id="rId1"/>
    <sheet name="dSTART" sheetId="2" state="hidden" r:id="rId2"/>
    <sheet name="dAName" sheetId="75" state="hidden" r:id="rId3"/>
    <sheet name="DATA" sheetId="3" state="hidden" r:id="rId4"/>
    <sheet name="cst_DATA" sheetId="4" state="hidden" r:id="rId5"/>
    <sheet name="項目リスト" sheetId="5" state="hidden" r:id="rId6"/>
    <sheet name="用途の区分" sheetId="6" state="veryHidden" r:id="rId7"/>
    <sheet name="リスト" sheetId="7" state="veryHidden" r:id="rId8"/>
    <sheet name="建築工事届_主要用途" sheetId="76" state="veryHidden" r:id="rId9"/>
    <sheet name="委任状" sheetId="77" state="veryHidden" r:id="rId10"/>
    <sheet name="連絡担当者票" sheetId="83" r:id="rId11"/>
    <sheet name="建築工事届" sheetId="80" state="veryHidden" r:id="rId12"/>
    <sheet name="第四面" sheetId="68" state="hidden" r:id="rId13"/>
    <sheet name="工事監理計画届" sheetId="81" state="veryHidden" r:id="rId14"/>
    <sheet name="浄化槽概要書・通知書_静岡県" sheetId="78" state="veryHidden" r:id="rId15"/>
    <sheet name="記載事項変更届" sheetId="70" state="veryHidden" r:id="rId16"/>
    <sheet name="軽微な変更説明書" sheetId="79" state="veryHidden" r:id="rId17"/>
    <sheet name="取下げ届_確認" sheetId="72" state="veryHidden" r:id="rId18"/>
    <sheet name="取下げ届_中間" sheetId="73" state="veryHidden" r:id="rId19"/>
    <sheet name="取下げ届_完了" sheetId="74" state="veryHidden" r:id="rId20"/>
    <sheet name="取下げ届_仮使用" sheetId="84" state="veryHidden" r:id="rId21"/>
    <sheet name="計画廃止届" sheetId="69" state="veryHidden" r:id="rId22"/>
    <sheet name="建築主別紙" sheetId="86" state="veryHidden" r:id="rId23"/>
    <sheet name="届出者別紙" sheetId="85" state="veryHidden" r:id="rId24"/>
    <sheet name="様式未設定" sheetId="82" state="veryHidden" r:id="rId25"/>
  </sheets>
  <definedNames>
    <definedName name="__IntlFixup" hidden="1">TRUE</definedName>
    <definedName name="__IntlFixupTable" localSheetId="9" hidden="1">#REF!</definedName>
    <definedName name="__IntlFixupTable" localSheetId="15" hidden="1">#REF!</definedName>
    <definedName name="__IntlFixupTable" localSheetId="21" hidden="1">#REF!</definedName>
    <definedName name="__IntlFixupTable" localSheetId="16" hidden="1">#REF!</definedName>
    <definedName name="__IntlFixupTable" localSheetId="11" hidden="1">#REF!</definedName>
    <definedName name="__IntlFixupTable" localSheetId="13" hidden="1">#REF!</definedName>
    <definedName name="__IntlFixupTable" localSheetId="20" hidden="1">#REF!</definedName>
    <definedName name="__IntlFixupTable" localSheetId="17" hidden="1">#REF!</definedName>
    <definedName name="__IntlFixupTable" localSheetId="19" hidden="1">#REF!</definedName>
    <definedName name="__IntlFixupTable" localSheetId="18" hidden="1">#REF!</definedName>
    <definedName name="__IntlFixupTable" localSheetId="14" hidden="1">#REF!</definedName>
    <definedName name="__IntlFixupTable" localSheetId="12" hidden="1">#REF!</definedName>
    <definedName name="__IntlFixupTable" hidden="1">#REF!</definedName>
    <definedName name="_１級">リスト!$A$3</definedName>
    <definedName name="_output_sheetname">DATA!$D$9</definedName>
    <definedName name="_output_title">DATA!$D$7</definedName>
    <definedName name="AAA_01" localSheetId="9" hidden="1">#REF!</definedName>
    <definedName name="AAA_01" localSheetId="15" hidden="1">#REF!</definedName>
    <definedName name="AAA_01" localSheetId="21" hidden="1">#REF!</definedName>
    <definedName name="AAA_01" localSheetId="16" hidden="1">#REF!</definedName>
    <definedName name="AAA_01" localSheetId="11" hidden="1">#REF!</definedName>
    <definedName name="AAA_01" localSheetId="13" hidden="1">#REF!</definedName>
    <definedName name="AAA_01" localSheetId="20" hidden="1">#REF!</definedName>
    <definedName name="AAA_01" localSheetId="17" hidden="1">#REF!</definedName>
    <definedName name="AAA_01" localSheetId="19" hidden="1">#REF!</definedName>
    <definedName name="AAA_01" localSheetId="18" hidden="1">#REF!</definedName>
    <definedName name="AAA_01" localSheetId="14" hidden="1">#REF!</definedName>
    <definedName name="AAA_01" localSheetId="12" hidden="1">#REF!</definedName>
    <definedName name="AAA_01" hidden="1">#REF!</definedName>
    <definedName name="chk_INTER_state_in_final">DATA!$F$28</definedName>
    <definedName name="chk_INTER1_state_in_conf">DATA!$F$25</definedName>
    <definedName name="chk_INTER2_state_in_conf">DATA!$F$26</definedName>
    <definedName name="chk_INTER3_state_in_conf">DATA!$F$27</definedName>
    <definedName name="chk_JOB_KIND_kakunin">DATA!$F$24</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cst__output_sheetname">DATA!$F$9</definedName>
    <definedName name="cst__output_title">DATA!$F$7</definedName>
    <definedName name="cst_ISSUE_DATE_select">DATA!$F$30</definedName>
    <definedName name="cst_ISSUE_KOUFU_NAME_select">DATA!$F$62</definedName>
    <definedName name="cst_ISSUE_NO_select">DATA!$F$29</definedName>
    <definedName name="cst_koujikikan_month">DATA!$F$1153</definedName>
    <definedName name="cst_koujikikan_year">DATA!$F$1152</definedName>
    <definedName name="cst_Pre_Corp__SHINSEI">dAName!$F$18</definedName>
    <definedName name="cst_Pre_Daihyou__SHINSEI">dAName!$G$18</definedName>
    <definedName name="cst_shinsei_build_p6_01_PAGE6_KOUZOU_KEISAN_KIND__002">DATA!$F$50</definedName>
    <definedName name="cst_shinsei_build_p6_01_PAGE6_KOUZOU_KEISAN_KIND__004">DATA!$F$49</definedName>
    <definedName name="cst_shinsei_build_p6_01_PAGE6_KOUZOU_KEISAN_KIND__005">DATA!$F$48</definedName>
    <definedName name="cst_shinsei_build_YOUTO">DATA!$F$1335</definedName>
    <definedName name="cst_shinsei_HIKIUKE_DATE">DATA!$F$38</definedName>
    <definedName name="cst_shinsei_ISSUE_DATE">DATA!$F$43</definedName>
    <definedName name="cst_shinsei_ISSUE_KOUFU_NAME">DATA!$F$45</definedName>
    <definedName name="cst_shinsei_ISSUE_NO">DATA!$F$40</definedName>
    <definedName name="cst_shinsei_KAKU_SUMI_NO">DATA!$F$41</definedName>
    <definedName name="cst_shinsei_KAKUNIN_ISSUE_NO">DATA!$F$60</definedName>
    <definedName name="cst_shinsei_KAKUNIN_KOUFU_DATE">DATA!$F$63</definedName>
    <definedName name="cst_shinsei_PROVO_DATE">DATA!$F$32</definedName>
    <definedName name="cst_shinsei_PROVO_NO">DATA!$F$33</definedName>
    <definedName name="cst_shinsei_UKETUKE_NO">DATA!$F$36</definedName>
    <definedName name="cst_shinsei_UNIT_COUNT">DATA!$F$977</definedName>
    <definedName name="cst_wsjob__address">DATA!$F$83</definedName>
    <definedName name="cst_wsjob_BUILD_ADDRESS">DATA!$F$86</definedName>
    <definedName name="cst_wsjob_BUILD_KEN">DATA!$F$85</definedName>
    <definedName name="cst_wsjob_JOB_KIND">DATA!$F$17</definedName>
    <definedName name="cst_wsjob_JOB_KIND_final_box">DATA!$F$20</definedName>
    <definedName name="cst_wsjob_JOB_KIND_inter_box">DATA!$F$19</definedName>
    <definedName name="cst_wsjob_JOB_KIND_kakunin_box">DATA!$F$18</definedName>
    <definedName name="cst_wsjob_JOB_SET_KIND">DATA!$F$12</definedName>
    <definedName name="cst_wsjob_KENTIKUBUTU_box">DATA!$F$14</definedName>
    <definedName name="cst_wsjob_KOUSAKUBUTU_box">DATA!$F$16</definedName>
    <definedName name="cst_wsjob_SYOUKOUKI_box">DATA!$F$15</definedName>
    <definedName name="cst_wsjob_TARGET_KIND">DATA!$F$13</definedName>
    <definedName name="cst_wsjob_TARGET_KIND__label">DATA!$F$11</definedName>
    <definedName name="cst_wskakunin__bouka">DATA!$F$930</definedName>
    <definedName name="cst_wskakunin__kouji">DATA!$F$979</definedName>
    <definedName name="cst_wskakunin__kuiki">DATA!$F$921</definedName>
    <definedName name="cst_wskakunin__kuiki_box">DATA!$F$922</definedName>
    <definedName name="cst_wskakunin__tosi_kuiki">DATA!$F$924</definedName>
    <definedName name="cst_wskakunin_20kouzou101_KOUZOUSEKKEI_KOUFU_NO">DATA!$F$499</definedName>
    <definedName name="cst_wskakunin_20kouzou101_NAME">DATA!$F$498</definedName>
    <definedName name="cst_wskakunin_20kouzou102_KOUZOUSEKKEI_KOUFU_NO">DATA!$F$501</definedName>
    <definedName name="cst_wskakunin_20kouzou102_NAME">DATA!$F$500</definedName>
    <definedName name="cst_wskakunin_20kouzou103_KOUZOUSEKKEI_KOUFU_NO">DATA!$F$503</definedName>
    <definedName name="cst_wskakunin_20kouzou103_NAME">DATA!$F$502</definedName>
    <definedName name="cst_wskakunin_20kouzou104_KOUZOUSEKKEI_KOUFU_NO">DATA!$F$505</definedName>
    <definedName name="cst_wskakunin_20kouzou104_NAME">DATA!$F$504</definedName>
    <definedName name="cst_wskakunin_20kouzou105_KOUZOUSEKKEI_KOUFU_NO">DATA!$F$507</definedName>
    <definedName name="cst_wskakunin_20kouzou105_NAME">DATA!$F$506</definedName>
    <definedName name="cst_wskakunin_20kouzou301_KOUZOUSEKKEI_KOUFU_NO">DATA!$F$511</definedName>
    <definedName name="cst_wskakunin_20kouzou301_NAME">DATA!$F$510</definedName>
    <definedName name="cst_wskakunin_20kouzou302_KOUZOUSEKKEI_KOUFU_NO">DATA!$F$513</definedName>
    <definedName name="cst_wskakunin_20kouzou302_NAME">DATA!$F$512</definedName>
    <definedName name="cst_wskakunin_20kouzou303_KOUZOUSEKKEI_KOUFU_NO">DATA!$F$515</definedName>
    <definedName name="cst_wskakunin_20kouzou303_NAME">DATA!$F$514</definedName>
    <definedName name="cst_wskakunin_20kouzou304_KOUZOUSEKKEI_KOUFU_NO">DATA!$F$517</definedName>
    <definedName name="cst_wskakunin_20kouzou304_NAME">DATA!$F$516</definedName>
    <definedName name="cst_wskakunin_20kouzou305_KOUZOUSEKKEI_KOUFU_NO">DATA!$F$519</definedName>
    <definedName name="cst_wskakunin_20kouzou305_NAME">DATA!$F$518</definedName>
    <definedName name="cst_wskakunin_20setubi101_NAME">DATA!$F$522</definedName>
    <definedName name="cst_wskakunin_20setubi101_SETUBISEKKEI_KOUFU_NO">DATA!$F$523</definedName>
    <definedName name="cst_wskakunin_20setubi102_NAME">DATA!$F$524</definedName>
    <definedName name="cst_wskakunin_20setubi102_SETUBISEKKEI_KOUFU_NO">DATA!$F$525</definedName>
    <definedName name="cst_wskakunin_20setubi103_NAME">DATA!$F$526</definedName>
    <definedName name="cst_wskakunin_20setubi103_SETUBISEKKEI_KOUFU_NO">DATA!$F$527</definedName>
    <definedName name="cst_wskakunin_20setubi104_NAME">DATA!$F$528</definedName>
    <definedName name="cst_wskakunin_20setubi104_SETUBISEKKEI_KOUFU_NO">DATA!$F$529</definedName>
    <definedName name="cst_wskakunin_20setubi105_NAME">DATA!$F$530</definedName>
    <definedName name="cst_wskakunin_20setubi105_SETUBISEKKEI_KOUFU_NO">DATA!$F$531</definedName>
    <definedName name="cst_wskakunin_20setubi301_NAME">DATA!$F$534</definedName>
    <definedName name="cst_wskakunin_20setubi301_SETUBISEKKEI_KOUFU_NO">DATA!$F$535</definedName>
    <definedName name="cst_wskakunin_20setubi302_NAME">DATA!$F$536</definedName>
    <definedName name="cst_wskakunin_20setubi302_SETUBISEKKEI_KOUFU_NO">DATA!$F$537</definedName>
    <definedName name="cst_wskakunin_20setubi303_NAME">DATA!$F$538</definedName>
    <definedName name="cst_wskakunin_20setubi303_SETUBISEKKEI_KOUFU_NO">DATA!$F$539</definedName>
    <definedName name="cst_wskakunin_20setubi304_NAME">DATA!$F$540</definedName>
    <definedName name="cst_wskakunin_20setubi304_SETUBISEKKEI_KOUFU_NO">DATA!$F$541</definedName>
    <definedName name="cst_wskakunin_20setubi305_NAME">DATA!$F$542</definedName>
    <definedName name="cst_wskakunin_20setubi305_SETUBISEKKEI_KOUFU_NO">DATA!$F$543</definedName>
    <definedName name="cst_wskakunin_APPLICANT_NAME">DATA!$F$68</definedName>
    <definedName name="cst_wskakunin_BOUKA_22JYO">DATA!$F$934</definedName>
    <definedName name="cst_wskakunin_BOUKA_BOUKA">DATA!$F$931</definedName>
    <definedName name="cst_wskakunin_BOUKA_JYUN_BOUKA">DATA!$F$932</definedName>
    <definedName name="cst_wskakunin_BOUKA_NASI">DATA!$F$933</definedName>
    <definedName name="cst_wskakunin_BOUKA_SETUBI_FLAG">DATA!$F$1177</definedName>
    <definedName name="cst_wskakunin_BOUKA_SETUBI_FLAG_box_off">DATA!$F$1179</definedName>
    <definedName name="cst_wskakunin_BOUKA_SETUBI_FLAG_box_on">DATA!$F$1178</definedName>
    <definedName name="cst_wskakunin_BUILD__address">DATA!$F$910</definedName>
    <definedName name="cst_wskakunin_BUILD_ADDRESS">DATA!$F$912</definedName>
    <definedName name="cst_wskakunin_BUILD_JYUKYO__address">DATA!$F$915</definedName>
    <definedName name="cst_wskakunin_BUILD_JYUKYO_ADDRESS">DATA!$F$917</definedName>
    <definedName name="cst_wskakunin_BUILD_JYUKYO_KEN__ken">DATA!$F$916</definedName>
    <definedName name="cst_wskakunin_BUILD_KEN__ken">DATA!$F$911</definedName>
    <definedName name="cst_wskakunin_BUILD_NAME">DATA!$F$847</definedName>
    <definedName name="cst_wskakunin_BUILD_NAME_KANA">DATA!$F$848</definedName>
    <definedName name="cst_wskakunin_BUILD_SHINSEI_COUNT">DATA!$F$1092</definedName>
    <definedName name="cst_wskakunin_BUILD_SONOTA_COUNT">DATA!$F$1093</definedName>
    <definedName name="cst_wskakunin_dairi1__address">DATA!$F$215</definedName>
    <definedName name="cst_wskakunin_dairi1__sikaku">DATA!$F$203</definedName>
    <definedName name="cst_wskakunin_dairi1__space">DATA!$F$218</definedName>
    <definedName name="cst_wskakunin_dairi1_FAX">DATA!$F$217</definedName>
    <definedName name="cst_wskakunin_dairi1_JIMU__sikaku">DATA!$F$209</definedName>
    <definedName name="cst_wskakunin_dairi1_JIMU_NAME">DATA!$F$213</definedName>
    <definedName name="cst_wskakunin_dairi1_JIMU_NO">DATA!$F$212</definedName>
    <definedName name="cst_wskakunin_dairi1_JIMU_SIKAKU">DATA!$F$210</definedName>
    <definedName name="cst_wskakunin_dairi1_JIMU_TOUROKU_KIKAN">DATA!$F$211</definedName>
    <definedName name="cst_wskakunin_dairi1_KENTIKUSI_NO">DATA!$F$206</definedName>
    <definedName name="cst_wskakunin_dairi1_NAME">DATA!$F$207</definedName>
    <definedName name="cst_wskakunin_dairi1_NAME_KANA">DATA!$F$208</definedName>
    <definedName name="cst_wskakunin_dairi1_SIKAKU">DATA!$F$204</definedName>
    <definedName name="cst_wskakunin_dairi1_TEL">DATA!$F$216</definedName>
    <definedName name="cst_wskakunin_dairi1_TOUROKU_KIKAN">DATA!$F$205</definedName>
    <definedName name="cst_wskakunin_dairi1_ZIP">DATA!$F$214</definedName>
    <definedName name="cst_wskakunin_dairi2__address">DATA!$F$233</definedName>
    <definedName name="cst_wskakunin_dairi2__sikaku">DATA!$F$221</definedName>
    <definedName name="cst_wskakunin_dairi2__space">DATA!$F$236</definedName>
    <definedName name="cst_wskakunin_dairi2_FAX">DATA!$F$235</definedName>
    <definedName name="cst_wskakunin_dairi2_JIMU__sikaku">DATA!$F$227</definedName>
    <definedName name="cst_wskakunin_dairi2_JIMU_NAME">DATA!$F$231</definedName>
    <definedName name="cst_wskakunin_dairi2_JIMU_NO">DATA!$F$230</definedName>
    <definedName name="cst_wskakunin_dairi2_JIMU_SIKAKU">DATA!$F$228</definedName>
    <definedName name="cst_wskakunin_dairi2_JIMU_TOUROKU_KIKAN">DATA!$F$229</definedName>
    <definedName name="cst_wskakunin_dairi2_KENTIKUSI_NO">DATA!$F$224</definedName>
    <definedName name="cst_wskakunin_dairi2_NAME">DATA!$F$225</definedName>
    <definedName name="cst_wskakunin_dairi2_NAME_KANA">DATA!$F$226</definedName>
    <definedName name="cst_wskakunin_dairi2_SIKAKU">DATA!$F$222</definedName>
    <definedName name="cst_wskakunin_dairi2_TEL">DATA!$F$234</definedName>
    <definedName name="cst_wskakunin_dairi2_TOUROKU_KIKAN">DATA!$F$223</definedName>
    <definedName name="cst_wskakunin_dairi2_ZIP">DATA!$F$232</definedName>
    <definedName name="cst_wskakunin_dairi3__address">DATA!$F$251</definedName>
    <definedName name="cst_wskakunin_dairi3__sikaku">DATA!$F$239</definedName>
    <definedName name="cst_wskakunin_dairi3__space">DATA!$F$254</definedName>
    <definedName name="cst_wskakunin_dairi3_FAX">DATA!$F$253</definedName>
    <definedName name="cst_wskakunin_dairi3_JIMU__sikaku">DATA!$F$245</definedName>
    <definedName name="cst_wskakunin_dairi3_JIMU_NAME">DATA!$F$249</definedName>
    <definedName name="cst_wskakunin_dairi3_JIMU_NO">DATA!$F$248</definedName>
    <definedName name="cst_wskakunin_dairi3_JIMU_SIKAKU">DATA!$F$246</definedName>
    <definedName name="cst_wskakunin_dairi3_JIMU_TOUROKU_KIKAN">DATA!$F$247</definedName>
    <definedName name="cst_wskakunin_dairi3_KENTIKUSI_NO">DATA!$F$242</definedName>
    <definedName name="cst_wskakunin_dairi3_NAME">DATA!$F$243</definedName>
    <definedName name="cst_wskakunin_dairi3_NAME_KANA">DATA!$F$244</definedName>
    <definedName name="cst_wskakunin_dairi3_SIKAKU">DATA!$F$240</definedName>
    <definedName name="cst_wskakunin_dairi3_TEL">DATA!$F$252</definedName>
    <definedName name="cst_wskakunin_dairi3_TOUROKU_KIKAN">DATA!$F$241</definedName>
    <definedName name="cst_wskakunin_dairi3_ZIP">DATA!$F$250</definedName>
    <definedName name="cst_wskakunin_dairi4__address">DATA!$F$269</definedName>
    <definedName name="cst_wskakunin_dairi4__sikaku">DATA!$F$257</definedName>
    <definedName name="cst_wskakunin_dairi4__space">DATA!$F$272</definedName>
    <definedName name="cst_wskakunin_dairi4_FAX">DATA!$F$271</definedName>
    <definedName name="cst_wskakunin_dairi4_JIMU__sikaku">DATA!$F$263</definedName>
    <definedName name="cst_wskakunin_dairi4_JIMU_NAME">DATA!$F$267</definedName>
    <definedName name="cst_wskakunin_dairi4_JIMU_NO">DATA!$F$266</definedName>
    <definedName name="cst_wskakunin_dairi4_JIMU_SIKAKU">DATA!$F$264</definedName>
    <definedName name="cst_wskakunin_dairi4_JIMU_TOUROKU_KIKAN">DATA!$F$265</definedName>
    <definedName name="cst_wskakunin_dairi4_KENTIKUSI_NO">DATA!$F$260</definedName>
    <definedName name="cst_wskakunin_dairi4_NAME">DATA!$F$261</definedName>
    <definedName name="cst_wskakunin_dairi4_NAME_KANA">DATA!$F$262</definedName>
    <definedName name="cst_wskakunin_dairi4_SIKAKU">DATA!$F$258</definedName>
    <definedName name="cst_wskakunin_dairi4_TEL">DATA!$F$270</definedName>
    <definedName name="cst_wskakunin_dairi4_TOUROKU_KIKAN">DATA!$F$259</definedName>
    <definedName name="cst_wskakunin_dairi4_ZIP">DATA!$F$268</definedName>
    <definedName name="cst_wskakunin_dairi5__address">DATA!$F$287</definedName>
    <definedName name="cst_wskakunin_dairi5__sikaku">DATA!$F$275</definedName>
    <definedName name="cst_wskakunin_dairi5__space">DATA!$F$290</definedName>
    <definedName name="cst_wskakunin_dairi5_FAX">DATA!$F$289</definedName>
    <definedName name="cst_wskakunin_dairi5_JIMU__sikaku">DATA!$F$281</definedName>
    <definedName name="cst_wskakunin_dairi5_JIMU_NAME">DATA!$F$285</definedName>
    <definedName name="cst_wskakunin_dairi5_JIMU_NO">DATA!$F$284</definedName>
    <definedName name="cst_wskakunin_dairi5_JIMU_SIKAKU">DATA!$F$282</definedName>
    <definedName name="cst_wskakunin_dairi5_JIMU_TOUROKU_KIKAN">DATA!$F$283</definedName>
    <definedName name="cst_wskakunin_dairi5_KENTIKUSI_NO">DATA!$F$278</definedName>
    <definedName name="cst_wskakunin_dairi5_NAME">DATA!$F$279</definedName>
    <definedName name="cst_wskakunin_dairi5_NAME_KANA">DATA!$F$280</definedName>
    <definedName name="cst_wskakunin_dairi5_SIKAKU">DATA!$F$276</definedName>
    <definedName name="cst_wskakunin_dairi5_TEL">DATA!$F$288</definedName>
    <definedName name="cst_wskakunin_dairi5_TOUROKU_KIKAN">DATA!$F$277</definedName>
    <definedName name="cst_wskakunin_dairi5_ZIP">DATA!$F$286</definedName>
    <definedName name="cst_wskakunin_DOURO_FUKUIN">DATA!$F$939</definedName>
    <definedName name="cst_wskakunin_DOURO_NAGASA">DATA!$F$940</definedName>
    <definedName name="cst_wskakunin_ecotekihan01_FUYOU_CAUSE">DATA!$F$877</definedName>
    <definedName name="cst_wskakunin_ecotekihan01_miteisyutu_kikan_info">DATA!$F$876</definedName>
    <definedName name="cst_wskakunin_ecotekihan01_teisyutu_kikan_info">DATA!$F$875</definedName>
    <definedName name="cst_wskakunin_ecotekihan01_TEKIHAN_KIKAN_ADDRESS">DATA!$F$873</definedName>
    <definedName name="cst_wskakunin_ecotekihan01_TEKIHAN_KIKAN_KEN__ken">DATA!$F$872</definedName>
    <definedName name="cst_wskakunin_ecotekihan01_TEKIHAN_KIKAN_NAME">DATA!$F$871</definedName>
    <definedName name="cst_wskakunin_ecotekihan01_TEKIHAN_STATE_miteisyutu">DATA!$F$869</definedName>
    <definedName name="cst_wskakunin_ecotekihan01_TEKIHAN_STATE_teisyutu">DATA!$F$868</definedName>
    <definedName name="cst_wskakunin_ecotekihan01_TEKIHAN_STATE_teisyutufuyou">DATA!$F$870</definedName>
    <definedName name="cst_wskakunin_gaiyou1_EV_KIND">DATA!$F$1009</definedName>
    <definedName name="cst_wskakunin_gaiyou1_KOUJI_KAITIKU">DATA!$F$996</definedName>
    <definedName name="cst_wskakunin_gaiyou1_KOUJI_SINTIKU">DATA!$F$994</definedName>
    <definedName name="cst_wskakunin_gaiyou1_KOUJI_SONOTA">DATA!$F$997</definedName>
    <definedName name="cst_wskakunin_gaiyou1_KOUJI_SONOTA_TEXT">DATA!$F$998</definedName>
    <definedName name="cst_wskakunin_gaiyou1_KOUJI_ZOUTIKU">DATA!$F$995</definedName>
    <definedName name="cst_wskakunin_gaiyou1_KOUZOU">DATA!$F$993</definedName>
    <definedName name="cst_wskakunin_gaiyou1_NINSYOU_NO">DATA!$F$1015</definedName>
    <definedName name="cst_wskakunin_gaiyou1_NO">DATA!$F$1008</definedName>
    <definedName name="cst_wskakunin_gaiyou1_SEKISAI">DATA!$F$1011</definedName>
    <definedName name="cst_wskakunin_gaiyou1_SONOTA">DATA!$F$1014</definedName>
    <definedName name="cst_wskakunin_gaiyou1_SONOTA_and_NINSYOU_NO">DATA!$F$1016</definedName>
    <definedName name="cst_wskakunin_gaiyou1_SPEED">DATA!$F$1013</definedName>
    <definedName name="cst_wskakunin_gaiyou1_TAKASA">DATA!$F$992</definedName>
    <definedName name="cst_wskakunin_gaiyou1_TEIIN">DATA!$F$1012</definedName>
    <definedName name="cst_wskakunin_gaiyou1_TIKUZOU_MENSEKI_IGAI">DATA!$F$1001</definedName>
    <definedName name="cst_wskakunin_gaiyou1_TIKUZOU_MENSEKI_SHINSEI">DATA!$F$1000</definedName>
    <definedName name="cst_wskakunin_gaiyou1_TIKUZOU_MENSEKI_TOTAL">DATA!$F$1002</definedName>
    <definedName name="cst_wskakunin_gaiyou1_WORK_COUNT_IGAI">DATA!$F$1004</definedName>
    <definedName name="cst_wskakunin_gaiyou1_WORK_COUNT_SHINSEI">DATA!$F$1003</definedName>
    <definedName name="cst_wskakunin_gaiyou1_WORK_COUNT_TOTAL">DATA!$F$1005</definedName>
    <definedName name="cst_wskakunin_gaiyou1_WORK_SYURUI">DATA!$F$991</definedName>
    <definedName name="cst_wskakunin_gaiyou1_WORK_SYURUI_CODE">DATA!$F$990</definedName>
    <definedName name="cst_wskakunin_gaiyou1_YOUTO">DATA!$F$1010</definedName>
    <definedName name="cst_wskakunin_iken1__address">DATA!$F$550</definedName>
    <definedName name="cst_wskakunin_iken1_DOC">DATA!$F$553</definedName>
    <definedName name="cst_wskakunin_iken1_IKEN_NO">DATA!$F$552</definedName>
    <definedName name="cst_wskakunin_iken1_JIMU_NAME">DATA!$F$548</definedName>
    <definedName name="cst_wskakunin_iken1_NAME">DATA!$F$547</definedName>
    <definedName name="cst_wskakunin_iken1_TEL">DATA!$F$551</definedName>
    <definedName name="cst_wskakunin_iken1_ZIP">DATA!$F$549</definedName>
    <definedName name="cst_wskakunin_iken2__address">DATA!$F$559</definedName>
    <definedName name="cst_wskakunin_iken2_DOC">DATA!$F$562</definedName>
    <definedName name="cst_wskakunin_iken2_IKEN_NO">DATA!$F$561</definedName>
    <definedName name="cst_wskakunin_iken2_JIMU_NAME">DATA!$F$557</definedName>
    <definedName name="cst_wskakunin_iken2_NAME">DATA!$F$556</definedName>
    <definedName name="cst_wskakunin_iken2_TEL">DATA!$F$560</definedName>
    <definedName name="cst_wskakunin_iken2_ZIP">DATA!$F$558</definedName>
    <definedName name="cst_wskakunin_iken3__address">DATA!$F$568</definedName>
    <definedName name="cst_wskakunin_iken3_DOC">DATA!$F$571</definedName>
    <definedName name="cst_wskakunin_iken3_IKEN_NO">DATA!$F$570</definedName>
    <definedName name="cst_wskakunin_iken3_JIMU_NAME">DATA!$F$566</definedName>
    <definedName name="cst_wskakunin_iken3_NAME">DATA!$F$565</definedName>
    <definedName name="cst_wskakunin_iken3_TEL">DATA!$F$569</definedName>
    <definedName name="cst_wskakunin_iken3_ZIP">DATA!$F$567</definedName>
    <definedName name="cst_wskakunin_iken4__address">DATA!$F$577</definedName>
    <definedName name="cst_wskakunin_iken4_DOC">DATA!$F$580</definedName>
    <definedName name="cst_wskakunin_iken4_IKEN_NO">DATA!$F$579</definedName>
    <definedName name="cst_wskakunin_iken4_JIMU_NAME">DATA!$F$575</definedName>
    <definedName name="cst_wskakunin_iken4_NAME">DATA!$F$574</definedName>
    <definedName name="cst_wskakunin_iken4_TEL">DATA!$F$578</definedName>
    <definedName name="cst_wskakunin_iken4_ZIP">DATA!$F$576</definedName>
    <definedName name="cst_wskakunin_iken5__address">DATA!$F$585</definedName>
    <definedName name="cst_wskakunin_iken5_DOC">DATA!$F$588</definedName>
    <definedName name="cst_wskakunin_iken5_IKEN_NO">DATA!$F$587</definedName>
    <definedName name="cst_wskakunin_iken5_JIMU_NAME">DATA!$F$583</definedName>
    <definedName name="cst_wskakunin_iken5_NAME">DATA!$F$582</definedName>
    <definedName name="cst_wskakunin_iken5_TEL">DATA!$F$586</definedName>
    <definedName name="cst_wskakunin_iken5_ZIP">DATA!$F$584</definedName>
    <definedName name="cst_wskakunin_KAISU_TIJYOU_SHINSEI">DATA!$F$1100</definedName>
    <definedName name="cst_wskakunin_KAISU_TIJYOU_SONOTA">DATA!$F$1101</definedName>
    <definedName name="cst_wskakunin_KAISU_TIKA_SHINSEI__zero">DATA!$F$1103</definedName>
    <definedName name="cst_wskakunin_KAISU_TIKA_SONOTA">DATA!$F$1104</definedName>
    <definedName name="cst_wskakunin_kanri1__address">DATA!$F$603</definedName>
    <definedName name="cst_wskakunin_kanri1__sikaku">DATA!$F$591</definedName>
    <definedName name="cst_wskakunin_kanri1_DOC">DATA!$F$605</definedName>
    <definedName name="cst_wskakunin_kanri1_JIMU">DATA!$F$596</definedName>
    <definedName name="cst_wskakunin_kanri1_JIMU_NAME">DATA!$F$600</definedName>
    <definedName name="cst_wskakunin_kanri1_JIMU_NO">DATA!$F$599</definedName>
    <definedName name="cst_wskakunin_kanri1_JIMU_SIKAKU">DATA!$F$597</definedName>
    <definedName name="cst_wskakunin_kanri1_JIMU_TOUROKU_KIKAN">DATA!$F$598</definedName>
    <definedName name="cst_wskakunin_kanri1_KENTIKUSI_NO">DATA!$F$594</definedName>
    <definedName name="cst_wskakunin_kanri1_NAME">DATA!$F$595</definedName>
    <definedName name="cst_wskakunin_kanri1_SIKAKU">DATA!$F$592</definedName>
    <definedName name="cst_wskakunin_kanri1_TEL">DATA!$F$604</definedName>
    <definedName name="cst_wskakunin_kanri1_TOUROKU_KIKAN">DATA!$F$593</definedName>
    <definedName name="cst_wskakunin_kanri1_ZIP">DATA!$F$601</definedName>
    <definedName name="cst_wskakunin_kanri1_ZIP2">DATA!$F$602</definedName>
    <definedName name="cst_wskakunin_kanri10__address">DATA!$F$747</definedName>
    <definedName name="cst_wskakunin_kanri10__sikaku">DATA!$F$736</definedName>
    <definedName name="cst_wskakunin_kanri10_DOC">DATA!$F$749</definedName>
    <definedName name="cst_wskakunin_kanri10_JIMU__sikaku">DATA!$F$741</definedName>
    <definedName name="cst_wskakunin_kanri10_JIMU_NAME">DATA!$F$745</definedName>
    <definedName name="cst_wskakunin_kanri10_JIMU_NO">DATA!$F$744</definedName>
    <definedName name="cst_wskakunin_kanri10_JIMU_SIKAKU">DATA!$F$742</definedName>
    <definedName name="cst_wskakunin_kanri10_JIMU_TOUROKU_KIKAN">DATA!$F$743</definedName>
    <definedName name="cst_wskakunin_kanri10_KENTIKUSI_NO">DATA!$F$739</definedName>
    <definedName name="cst_wskakunin_kanri10_NAME">DATA!$F$740</definedName>
    <definedName name="cst_wskakunin_kanri10_SIKAKU">DATA!$F$737</definedName>
    <definedName name="cst_wskakunin_kanri10_TEL">DATA!$F$748</definedName>
    <definedName name="cst_wskakunin_kanri10_TOUROKU_KIKAN">DATA!$F$738</definedName>
    <definedName name="cst_wskakunin_kanri10_ZIP">DATA!$F$746</definedName>
    <definedName name="cst_wskakunin_kanri11__address">DATA!$F$763</definedName>
    <definedName name="cst_wskakunin_kanri11__sikaku">DATA!$F$752</definedName>
    <definedName name="cst_wskakunin_kanri11_DOC">DATA!$F$765</definedName>
    <definedName name="cst_wskakunin_kanri11_JIMU__sikaku">DATA!$F$757</definedName>
    <definedName name="cst_wskakunin_kanri11_JIMU_NAME">DATA!$F$761</definedName>
    <definedName name="cst_wskakunin_kanri11_JIMU_NO">DATA!$F$760</definedName>
    <definedName name="cst_wskakunin_kanri11_JIMU_SIKAKU">DATA!$F$758</definedName>
    <definedName name="cst_wskakunin_kanri11_JIMU_TOUROKU_KIKAN">DATA!$F$759</definedName>
    <definedName name="cst_wskakunin_kanri11_KENTIKUSI_NO">DATA!$F$755</definedName>
    <definedName name="cst_wskakunin_kanri11_NAME">DATA!$F$756</definedName>
    <definedName name="cst_wskakunin_kanri11_SIKAKU">DATA!$F$753</definedName>
    <definedName name="cst_wskakunin_kanri11_TEL">DATA!$F$764</definedName>
    <definedName name="cst_wskakunin_kanri11_TOUROKU_KIKAN">DATA!$F$754</definedName>
    <definedName name="cst_wskakunin_kanri11_ZIP">DATA!$F$762</definedName>
    <definedName name="cst_wskakunin_kanri12__address">DATA!$F$779</definedName>
    <definedName name="cst_wskakunin_kanri12__sikaku">DATA!$F$768</definedName>
    <definedName name="cst_wskakunin_kanri12_DOC">DATA!$F$781</definedName>
    <definedName name="cst_wskakunin_kanri12_JIMU__sikaku">DATA!$F$773</definedName>
    <definedName name="cst_wskakunin_kanri12_JIMU_NAME">DATA!$F$777</definedName>
    <definedName name="cst_wskakunin_kanri12_JIMU_NO">DATA!$F$776</definedName>
    <definedName name="cst_wskakunin_kanri12_JIMU_SIKAKU">DATA!$F$774</definedName>
    <definedName name="cst_wskakunin_kanri12_JIMU_TOUROKU_KIKAN">DATA!$F$775</definedName>
    <definedName name="cst_wskakunin_kanri12_KENTIKUSI_NO">DATA!$F$771</definedName>
    <definedName name="cst_wskakunin_kanri12_NAME">DATA!$F$772</definedName>
    <definedName name="cst_wskakunin_kanri12_SIKAKU">DATA!$F$769</definedName>
    <definedName name="cst_wskakunin_kanri12_TEL">DATA!$F$780</definedName>
    <definedName name="cst_wskakunin_kanri12_TOUROKU_KIKAN">DATA!$F$770</definedName>
    <definedName name="cst_wskakunin_kanri12_ZIP">DATA!$F$778</definedName>
    <definedName name="cst_wskakunin_kanri2__address">DATA!$F$619</definedName>
    <definedName name="cst_wskakunin_kanri2__sikaku">DATA!$F$608</definedName>
    <definedName name="cst_wskakunin_kanri2_DOC">DATA!$F$621</definedName>
    <definedName name="cst_wskakunin_kanri2_JIMU">DATA!$F$613</definedName>
    <definedName name="cst_wskakunin_kanri2_JIMU_NAME">DATA!$F$617</definedName>
    <definedName name="cst_wskakunin_kanri2_JIMU_NO">DATA!$F$616</definedName>
    <definedName name="cst_wskakunin_kanri2_JIMU_SIKAKU">DATA!$F$614</definedName>
    <definedName name="cst_wskakunin_kanri2_JIMU_TOUROKU_KIKAN">DATA!$F$615</definedName>
    <definedName name="cst_wskakunin_kanri2_KENTIKUSI_NO">DATA!$F$611</definedName>
    <definedName name="cst_wskakunin_kanri2_NAME">DATA!$F$612</definedName>
    <definedName name="cst_wskakunin_kanri2_SIKAKU">DATA!$F$609</definedName>
    <definedName name="cst_wskakunin_kanri2_TEL">DATA!$F$620</definedName>
    <definedName name="cst_wskakunin_kanri2_TOUROKU_KIKAN">DATA!$F$610</definedName>
    <definedName name="cst_wskakunin_kanri2_ZIP">DATA!$F$618</definedName>
    <definedName name="cst_wskakunin_kanri3__address">DATA!$F$635</definedName>
    <definedName name="cst_wskakunin_kanri3__sikaku">DATA!$F$624</definedName>
    <definedName name="cst_wskakunin_kanri3_DOC">DATA!$F$637</definedName>
    <definedName name="cst_wskakunin_kanri3_JIMU__sikaku">DATA!$F$629</definedName>
    <definedName name="cst_wskakunin_kanri3_JIMU_NAME">DATA!$F$633</definedName>
    <definedName name="cst_wskakunin_kanri3_JIMU_NO">DATA!$F$632</definedName>
    <definedName name="cst_wskakunin_kanri3_JIMU_SIKAKU">DATA!$F$630</definedName>
    <definedName name="cst_wskakunin_kanri3_JIMU_TOUROKU_KIKAN">DATA!$F$631</definedName>
    <definedName name="cst_wskakunin_kanri3_KENTIKUSI_NO">DATA!$F$627</definedName>
    <definedName name="cst_wskakunin_kanri3_NAME">DATA!$F$628</definedName>
    <definedName name="cst_wskakunin_kanri3_SIKAKU">DATA!$F$625</definedName>
    <definedName name="cst_wskakunin_kanri3_TEL">DATA!$F$636</definedName>
    <definedName name="cst_wskakunin_kanri3_TOUROKU_KIKAN">DATA!$F$626</definedName>
    <definedName name="cst_wskakunin_kanri3_ZIP">DATA!$F$634</definedName>
    <definedName name="cst_wskakunin_kanri4__address">DATA!$F$651</definedName>
    <definedName name="cst_wskakunin_kanri4__sikaku">DATA!$F$640</definedName>
    <definedName name="cst_wskakunin_kanri4_DOC">DATA!$F$653</definedName>
    <definedName name="cst_wskakunin_kanri4_JIMU__sikaku">DATA!$F$645</definedName>
    <definedName name="cst_wskakunin_kanri4_JIMU_NAME">DATA!$F$649</definedName>
    <definedName name="cst_wskakunin_kanri4_JIMU_NO">DATA!$F$648</definedName>
    <definedName name="cst_wskakunin_kanri4_JIMU_SIKAKU">DATA!$F$646</definedName>
    <definedName name="cst_wskakunin_kanri4_JIMU_TOUROKU_KIKAN">DATA!$F$647</definedName>
    <definedName name="cst_wskakunin_kanri4_KENTIKUSI_NO">DATA!$F$643</definedName>
    <definedName name="cst_wskakunin_kanri4_NAME">DATA!$F$644</definedName>
    <definedName name="cst_wskakunin_kanri4_SIKAKU">DATA!$F$641</definedName>
    <definedName name="cst_wskakunin_kanri4_TEL">DATA!$F$652</definedName>
    <definedName name="cst_wskakunin_kanri4_TOUROKU_KIKAN">DATA!$F$642</definedName>
    <definedName name="cst_wskakunin_kanri4_ZIP">DATA!$F$650</definedName>
    <definedName name="cst_wskakunin_kanri5__address">DATA!$F$667</definedName>
    <definedName name="cst_wskakunin_kanri5__sikaku">DATA!$F$656</definedName>
    <definedName name="cst_wskakunin_kanri5_DOC">DATA!$F$669</definedName>
    <definedName name="cst_wskakunin_kanri5_JIMU__sikaku">DATA!$F$661</definedName>
    <definedName name="cst_wskakunin_kanri5_JIMU_NAME">DATA!$F$665</definedName>
    <definedName name="cst_wskakunin_kanri5_JIMU_NO">DATA!$F$664</definedName>
    <definedName name="cst_wskakunin_kanri5_JIMU_SIKAKU">DATA!$F$662</definedName>
    <definedName name="cst_wskakunin_kanri5_JIMU_TOUROKU_KIKAN">DATA!$F$663</definedName>
    <definedName name="cst_wskakunin_kanri5_KENTIKUSI_NO">DATA!$F$659</definedName>
    <definedName name="cst_wskakunin_kanri5_NAME">DATA!$F$660</definedName>
    <definedName name="cst_wskakunin_kanri5_SIKAKU">DATA!$F$657</definedName>
    <definedName name="cst_wskakunin_kanri5_TEL">DATA!$F$668</definedName>
    <definedName name="cst_wskakunin_kanri5_TOUROKU_KIKAN">DATA!$F$658</definedName>
    <definedName name="cst_wskakunin_kanri5_ZIP">DATA!$F$666</definedName>
    <definedName name="cst_wskakunin_kanri6__address">DATA!$F$683</definedName>
    <definedName name="cst_wskakunin_kanri6__sikaku">DATA!$F$672</definedName>
    <definedName name="cst_wskakunin_kanri6_DOC">DATA!$F$685</definedName>
    <definedName name="cst_wskakunin_kanri6_JIMU__sikaku">DATA!$F$677</definedName>
    <definedName name="cst_wskakunin_kanri6_JIMU_NAME">DATA!$F$681</definedName>
    <definedName name="cst_wskakunin_kanri6_JIMU_NO">DATA!$F$680</definedName>
    <definedName name="cst_wskakunin_kanri6_JIMU_SIKAKU">DATA!$F$678</definedName>
    <definedName name="cst_wskakunin_kanri6_JIMU_TOUROKU_KIKAN">DATA!$F$679</definedName>
    <definedName name="cst_wskakunin_kanri6_KENTIKUSI_NO">DATA!$F$675</definedName>
    <definedName name="cst_wskakunin_kanri6_NAME">DATA!$F$676</definedName>
    <definedName name="cst_wskakunin_kanri6_SIKAKU">DATA!$F$673</definedName>
    <definedName name="cst_wskakunin_kanri6_TEL">DATA!$F$684</definedName>
    <definedName name="cst_wskakunin_kanri6_TOUROKU_KIKAN">DATA!$F$674</definedName>
    <definedName name="cst_wskakunin_kanri6_ZIP">DATA!$F$682</definedName>
    <definedName name="cst_wskakunin_kanri7__address">DATA!$F$699</definedName>
    <definedName name="cst_wskakunin_kanri7__sikaku">DATA!$F$688</definedName>
    <definedName name="cst_wskakunin_kanri7_DOC">DATA!$F$701</definedName>
    <definedName name="cst_wskakunin_kanri7_JIMU__sikaku">DATA!$F$693</definedName>
    <definedName name="cst_wskakunin_kanri7_JIMU_NAME">DATA!$F$697</definedName>
    <definedName name="cst_wskakunin_kanri7_JIMU_NO">DATA!$F$696</definedName>
    <definedName name="cst_wskakunin_kanri7_JIMU_SIKAKU">DATA!$F$694</definedName>
    <definedName name="cst_wskakunin_kanri7_JIMU_TOUROKU_KIKAN">DATA!$F$695</definedName>
    <definedName name="cst_wskakunin_kanri7_KENTIKUSI_NO">DATA!$F$691</definedName>
    <definedName name="cst_wskakunin_kanri7_NAME">DATA!$F$692</definedName>
    <definedName name="cst_wskakunin_kanri7_SIKAKU">DATA!$F$689</definedName>
    <definedName name="cst_wskakunin_kanri7_TEL">DATA!$F$700</definedName>
    <definedName name="cst_wskakunin_kanri7_TOUROKU_KIKAN">DATA!$F$690</definedName>
    <definedName name="cst_wskakunin_kanri7_ZIP">DATA!$F$698</definedName>
    <definedName name="cst_wskakunin_kanri8__address">DATA!$F$715</definedName>
    <definedName name="cst_wskakunin_kanri8__sikaku">DATA!$F$704</definedName>
    <definedName name="cst_wskakunin_kanri8_DOC">DATA!$F$717</definedName>
    <definedName name="cst_wskakunin_kanri8_JIMU__sikaku">DATA!$F$709</definedName>
    <definedName name="cst_wskakunin_kanri8_JIMU_NAME">DATA!$F$713</definedName>
    <definedName name="cst_wskakunin_kanri8_JIMU_NO">DATA!$F$712</definedName>
    <definedName name="cst_wskakunin_kanri8_JIMU_SIKAKU">DATA!$F$710</definedName>
    <definedName name="cst_wskakunin_kanri8_JIMU_TOUROKU_KIKAN">DATA!$F$711</definedName>
    <definedName name="cst_wskakunin_kanri8_KENTIKUSI_NO">DATA!$F$707</definedName>
    <definedName name="cst_wskakunin_kanri8_NAME">DATA!$F$708</definedName>
    <definedName name="cst_wskakunin_kanri8_SIKAKU">DATA!$F$705</definedName>
    <definedName name="cst_wskakunin_kanri8_TEL">DATA!$F$716</definedName>
    <definedName name="cst_wskakunin_kanri8_TOUROKU_KIKAN">DATA!$F$706</definedName>
    <definedName name="cst_wskakunin_kanri8_ZIP">DATA!$F$714</definedName>
    <definedName name="cst_wskakunin_kanri9__address">DATA!$F$731</definedName>
    <definedName name="cst_wskakunin_kanri9__sikaku">DATA!$F$720</definedName>
    <definedName name="cst_wskakunin_kanri9_DOC">DATA!$F$733</definedName>
    <definedName name="cst_wskakunin_kanri9_JIMU__sikaku">DATA!$F$725</definedName>
    <definedName name="cst_wskakunin_kanri9_JIMU_NAME">DATA!$F$729</definedName>
    <definedName name="cst_wskakunin_kanri9_JIMU_NO">DATA!$F$728</definedName>
    <definedName name="cst_wskakunin_kanri9_JIMU_SIKAKU">DATA!$F$726</definedName>
    <definedName name="cst_wskakunin_kanri9_JIMU_TOUROKU_KIKAN">DATA!$F$727</definedName>
    <definedName name="cst_wskakunin_kanri9_KENTIKUSI_NO">DATA!$F$723</definedName>
    <definedName name="cst_wskakunin_kanri9_NAME">DATA!$F$724</definedName>
    <definedName name="cst_wskakunin_kanri9_SIKAKU">DATA!$F$721</definedName>
    <definedName name="cst_wskakunin_kanri9_TEL">DATA!$F$732</definedName>
    <definedName name="cst_wskakunin_kanri9_TOUROKU_KIKAN">DATA!$F$722</definedName>
    <definedName name="cst_wskakunin_kanri9_ZIP">DATA!$F$730</definedName>
    <definedName name="cst_wskakunin_keibi_henkou01_HENKOU_GAIYOU">DATA!$F$1300</definedName>
    <definedName name="cst_wskakunin_keibi_henkou01_HENKOU_SYURUI">DATA!$F$1299</definedName>
    <definedName name="cst_wskakunin_KENPEI_RITU">DATA!$F$1022</definedName>
    <definedName name="cst_wskakunin_KENPEI_RITU_A">DATA!$F$963</definedName>
    <definedName name="cst_wskakunin_KENPEI_RITU_B">DATA!$F$964</definedName>
    <definedName name="cst_wskakunin_KENPEI_RITU_C">DATA!$F$965</definedName>
    <definedName name="cst_wskakunin_KENPEI_RITU_D">DATA!$F$966</definedName>
    <definedName name="cst_wskakunin_KENSA_YUKA_MENSEKI_select">DATA!$F$1208</definedName>
    <definedName name="cst_wskakunin_KENTIKU_MENSEKI_IGAI">DATA!$F$1020</definedName>
    <definedName name="cst_wskakunin_KENTIKU_MENSEKI_SHINSEI">DATA!$F$1019</definedName>
    <definedName name="cst_wskakunin_KENTIKU_MENSEKI_TOTAL">DATA!$F$1021</definedName>
    <definedName name="cst_wskakunin_KENTIKU_NINSYO_NO">DATA!$F$1196</definedName>
    <definedName name="cst_wskakunin_KIKAN_NAME">DATA!$F$51</definedName>
    <definedName name="cst_wskakunin_KOUJI_DAI_MOYOUGAE_box">DATA!$F$986</definedName>
    <definedName name="cst_wskakunin_KOUJI_DAI_SYUUZEN_box">DATA!$F$985</definedName>
    <definedName name="cst_wskakunin_KOUJI_ITEN_box">DATA!$F$983</definedName>
    <definedName name="cst_wskakunin_KOUJI_KAITIKU_box">DATA!$F$982</definedName>
    <definedName name="cst_wskakunin_KOUJI_KANRYOU_DATE_select">DATA!$F$1303</definedName>
    <definedName name="cst_wskakunin_KOUJI_KANRYOU_YOTEI_DATE">DATA!$F$1150</definedName>
    <definedName name="cst_wskakunin_KOUJI_KANRYOU_YOTEI_DATE_select">DATA!$F$1201</definedName>
    <definedName name="cst_wskakunin_KOUJI_SETUBI_box">DATA!$F$987</definedName>
    <definedName name="cst_wskakunin_KOUJI_SINTIKU_box">DATA!$F$980</definedName>
    <definedName name="cst_wskakunin_KOUJI_TYAKUSYU_DATE_select">DATA!$F$1198</definedName>
    <definedName name="cst_wskakunin_KOUJI_TYAKUSYU_YOTEI_DATE">DATA!$F$1148</definedName>
    <definedName name="cst_wskakunin_KOUJI_YOUTOHENKOU_box">DATA!$F$984</definedName>
    <definedName name="cst_wskakunin_KOUJI_ZOUTIKU_box">DATA!$F$981</definedName>
    <definedName name="cst_wskakunin_koutei_ikou01_KOUTEI_DATE">DATA!$F$1271</definedName>
    <definedName name="cst_wskakunin_koutei_ikou01_KOUTEI_DATE_inter1">DATA!$F$1281</definedName>
    <definedName name="cst_wskakunin_koutei_ikou01_KOUTEI_DATE_inter2">DATA!$F$1286</definedName>
    <definedName name="cst_wskakunin_koutei_ikou01_KOUTEI_KAISUU">DATA!$F$1269</definedName>
    <definedName name="cst_wskakunin_koutei_ikou01_KOUTEI_KAISUU_inter1">DATA!$F$1279</definedName>
    <definedName name="cst_wskakunin_koutei_ikou01_KOUTEI_KAISUU_inter2">DATA!$F$1284</definedName>
    <definedName name="cst_wskakunin_koutei_ikou01_KOUTEI_TEXT">DATA!$F$1270</definedName>
    <definedName name="cst_wskakunin_koutei_ikou01_KOUTEI_TEXT_inter1">DATA!$F$1280</definedName>
    <definedName name="cst_wskakunin_koutei_ikou01_KOUTEI_TEXT_inter2">DATA!$F$1285</definedName>
    <definedName name="cst_wskakunin_koutei_ikou02_KOUTEI_DATE">DATA!$F$1276</definedName>
    <definedName name="cst_wskakunin_koutei_ikou02_KOUTEI_DATE_inter1">DATA!$F$1291</definedName>
    <definedName name="cst_wskakunin_koutei_ikou02_KOUTEI_DATE_inter2">DATA!$F$1296</definedName>
    <definedName name="cst_wskakunin_koutei_ikou02_KOUTEI_KAISUU">DATA!$F$1274</definedName>
    <definedName name="cst_wskakunin_koutei_ikou02_KOUTEI_KAISUU_inter1">DATA!$F$1289</definedName>
    <definedName name="cst_wskakunin_koutei_ikou02_KOUTEI_KAISUU_inter2">DATA!$F$1294</definedName>
    <definedName name="cst_wskakunin_koutei_ikou02_KOUTEI_TEXT">DATA!$F$1275</definedName>
    <definedName name="cst_wskakunin_koutei_ikou02_KOUTEI_TEXT_inter1">DATA!$F$1290</definedName>
    <definedName name="cst_wskakunin_koutei_ikou02_KOUTEI_TEXT_inter2">DATA!$F$1295</definedName>
    <definedName name="cst_wskakunin_koutei_izen01_INTER_ISSUE_DATE">DATA!$F$1216</definedName>
    <definedName name="cst_wskakunin_koutei_izen01_INTER_ISSUE_DATE_inter1">DATA!$F$1244</definedName>
    <definedName name="cst_wskakunin_koutei_izen01_INTER_ISSUE_DATE_inter2">DATA!$F$1251</definedName>
    <definedName name="cst_wskakunin_koutei_izen01_INTER_ISSUE_NAME">DATA!$F$1214</definedName>
    <definedName name="cst_wskakunin_koutei_izen01_INTER_ISSUE_NAME_inter1">DATA!$F$1242</definedName>
    <definedName name="cst_wskakunin_koutei_izen01_INTER_ISSUE_NAME_inter2">DATA!$F$1249</definedName>
    <definedName name="cst_wskakunin_koutei_izen01_INTER_ISSUE_NO">DATA!$F$1215</definedName>
    <definedName name="cst_wskakunin_koutei_izen01_INTER_ISSUE_NO_inter1">DATA!$F$1243</definedName>
    <definedName name="cst_wskakunin_koutei_izen01_INTER_ISSUE_NO_inter2">DATA!$F$1250</definedName>
    <definedName name="cst_wskakunin_koutei_izen01_KOUTEI_KAISUU">DATA!$F$1212</definedName>
    <definedName name="cst_wskakunin_koutei_izen01_KOUTEI_KAISUU_inter1">DATA!$F$1240</definedName>
    <definedName name="cst_wskakunin_koutei_izen01_KOUTEI_KAISUU_inter2">DATA!$F$1247</definedName>
    <definedName name="cst_wskakunin_koutei_izen01_KOUTEI_TEXT">DATA!$F$1213</definedName>
    <definedName name="cst_wskakunin_koutei_izen01_KOUTEI_TEXT_inter1">DATA!$F$1241</definedName>
    <definedName name="cst_wskakunin_koutei_izen01_KOUTEI_TEXT_inter2">DATA!$F$1248</definedName>
    <definedName name="cst_wskakunin_koutei_izen01_umu">DATA!$F$1217</definedName>
    <definedName name="cst_wskakunin_koutei_izen02_INTER_ISSUE_DATE">DATA!$F$1223</definedName>
    <definedName name="cst_wskakunin_koutei_izen02_INTER_ISSUE_DATE_inter1">DATA!$F$1258</definedName>
    <definedName name="cst_wskakunin_koutei_izen02_INTER_ISSUE_DATE_inter2">DATA!$F$1265</definedName>
    <definedName name="cst_wskakunin_koutei_izen02_INTER_ISSUE_NAME">DATA!$F$1221</definedName>
    <definedName name="cst_wskakunin_koutei_izen02_INTER_ISSUE_NAME_inter1">DATA!$F$1256</definedName>
    <definedName name="cst_wskakunin_koutei_izen02_INTER_ISSUE_NAME_inter2">DATA!$F$1263</definedName>
    <definedName name="cst_wskakunin_koutei_izen02_INTER_ISSUE_NO">DATA!$F$1222</definedName>
    <definedName name="cst_wskakunin_koutei_izen02_INTER_ISSUE_NO_inter1">DATA!$F$1257</definedName>
    <definedName name="cst_wskakunin_koutei_izen02_INTER_ISSUE_NO_inter2">DATA!$F$1264</definedName>
    <definedName name="cst_wskakunin_koutei_izen02_KOUTEI_KAISUU">DATA!$F$1219</definedName>
    <definedName name="cst_wskakunin_koutei_izen02_KOUTEI_KAISUU_inter1">DATA!$F$1254</definedName>
    <definedName name="cst_wskakunin_koutei_izen02_KOUTEI_KAISUU_inter2">DATA!$F$1261</definedName>
    <definedName name="cst_wskakunin_koutei_izen02_KOUTEI_TEXT">DATA!$F$1220</definedName>
    <definedName name="cst_wskakunin_koutei_izen02_KOUTEI_TEXT_inter1">DATA!$F$1255</definedName>
    <definedName name="cst_wskakunin_koutei_izen02_KOUTEI_TEXT_inter2">DATA!$F$1262</definedName>
    <definedName name="cst_wskakunin_koutei_izen03_INTER_ISSUE_DATE">DATA!$F$1230</definedName>
    <definedName name="cst_wskakunin_koutei_izen03_INTER_ISSUE_NAME">DATA!$F$1228</definedName>
    <definedName name="cst_wskakunin_koutei_izen03_INTER_ISSUE_NO">DATA!$F$1229</definedName>
    <definedName name="cst_wskakunin_koutei_izen03_KOUTEI_KAISUU">DATA!$F$1226</definedName>
    <definedName name="cst_wskakunin_koutei_izen03_KOUTEI_TEXT">DATA!$F$1227</definedName>
    <definedName name="cst_wskakunin_koutei_izen04_INTER_ISSUE_DATE">DATA!$F$1237</definedName>
    <definedName name="cst_wskakunin_koutei_izen04_INTER_ISSUE_NAME">DATA!$F$1235</definedName>
    <definedName name="cst_wskakunin_koutei_izen04_INTER_ISSUE_NO">DATA!$F$1236</definedName>
    <definedName name="cst_wskakunin_koutei_izen04_KOUTEI_KAISUU">DATA!$F$1233</definedName>
    <definedName name="cst_wskakunin_koutei_izen04_KOUTEI_TEXT">DATA!$F$1234</definedName>
    <definedName name="cst_wskakunin_koutei_keika01_INTER_ISSUE_DATE_select">DATA!$F$1317</definedName>
    <definedName name="cst_wskakunin_koutei_keika01_INTER_ISSUE_NAME_select">DATA!$F$1315</definedName>
    <definedName name="cst_wskakunin_koutei_keika01_INTER_ISSUE_NO_select">DATA!$F$1316</definedName>
    <definedName name="cst_wskakunin_koutei_keika01_KOUTEI_KAISUU_select">DATA!$F$1313</definedName>
    <definedName name="cst_wskakunin_koutei_keika01_KOUTEI_TEXT_select">DATA!$F$1314</definedName>
    <definedName name="cst_wskakunin_koutei_keika02_INTER_ISSUE_DATE_select">DATA!$F$1332</definedName>
    <definedName name="cst_wskakunin_koutei_keika02_INTER_ISSUE_NAME_select">DATA!$F$1330</definedName>
    <definedName name="cst_wskakunin_koutei_keika02_INTER_ISSUE_NO_select">DATA!$F$1331</definedName>
    <definedName name="cst_wskakunin_koutei_keika02_KOUTEI_KAISUU_select">DATA!$F$1328</definedName>
    <definedName name="cst_wskakunin_koutei_keika02_KOUTEI_TEXT_select">DATA!$F$1329</definedName>
    <definedName name="cst_wskakunin_koutei01_INTER_ISSUE_DATE">DATA!$F$1310</definedName>
    <definedName name="cst_wskakunin_koutei01_INTER_ISSUE_NAME">DATA!$F$1308</definedName>
    <definedName name="cst_wskakunin_koutei01_INTER_ISSUE_NO">DATA!$F$1309</definedName>
    <definedName name="cst_wskakunin_koutei01_KOUTEI_DATE">DATA!$F$1159</definedName>
    <definedName name="cst_wskakunin_koutei01_KOUTEI_KAISUU">DATA!$F$1158</definedName>
    <definedName name="cst_wskakunin_koutei01_KOUTEI_TEXT">DATA!$F$1160</definedName>
    <definedName name="cst_wskakunin_koutei01_umu">DATA!$F$1311</definedName>
    <definedName name="cst_wskakunin_koutei02_INTER_ISSUE_DATE">DATA!$F$1324</definedName>
    <definedName name="cst_wskakunin_koutei02_INTER_ISSUE_NAME">DATA!$F$1322</definedName>
    <definedName name="cst_wskakunin_koutei02_INTER_ISSUE_NO">DATA!$F$1323</definedName>
    <definedName name="cst_wskakunin_koutei02_KOUTEI_DATE">DATA!$F$1164</definedName>
    <definedName name="cst_wskakunin_koutei02_KOUTEI_KAISUU">DATA!$F$1163</definedName>
    <definedName name="cst_wskakunin_koutei02_KOUTEI_TEXT">DATA!$F$1165</definedName>
    <definedName name="cst_wskakunin_koutei03_KOUTEI_DATE">DATA!$F$1169</definedName>
    <definedName name="cst_wskakunin_koutei03_KOUTEI_KAISUU">DATA!$F$1168</definedName>
    <definedName name="cst_wskakunin_koutei03_KOUTEI_TEXT">DATA!$F$1170</definedName>
    <definedName name="cst_wskakunin_koutei04_KOUTEI_DATE">DATA!$F$1174</definedName>
    <definedName name="cst_wskakunin_koutei04_KOUTEI_KAISUU">DATA!$F$1173</definedName>
    <definedName name="cst_wskakunin_koutei04_KOUTEI_TEXT">DATA!$F$1175</definedName>
    <definedName name="cst_wskakunin_KOUZOU">DATA!$F$1110</definedName>
    <definedName name="cst_wskakunin_KOUZOU_mokuzou">DATA!$F$1108</definedName>
    <definedName name="cst_wskakunin_KOUZOU_zairai">DATA!$F$1109</definedName>
    <definedName name="cst_wskakunin_KOUZOU1">DATA!$F$1106</definedName>
    <definedName name="cst_wskakunin_KOUZOU2">DATA!$F$1107</definedName>
    <definedName name="cst_wskakunin_KUIKI_HISETTEI">DATA!$F$926</definedName>
    <definedName name="cst_wskakunin_KUIKI_JYUN_TOSHI">DATA!$F$927</definedName>
    <definedName name="cst_wskakunin_KUIKI_KUIKIGAI">DATA!$F$928</definedName>
    <definedName name="cst_wskakunin_KUIKI_SIGAIKA">DATA!$F$923</definedName>
    <definedName name="cst_wskakunin_KUIKI_TOSI">DATA!$F$920</definedName>
    <definedName name="cst_wskakunin_KUIKI_TYOSEI">DATA!$F$925</definedName>
    <definedName name="cst_wskakunin_kyoka_HOUREI_all">DATA!$F$1146</definedName>
    <definedName name="cst_wskakunin_kyoka01_BIKOU">DATA!$F$1127</definedName>
    <definedName name="cst_wskakunin_kyoka01_HOUREI">DATA!$F$1123</definedName>
    <definedName name="cst_wskakunin_kyoka01_JOUKOU">DATA!$F$1124</definedName>
    <definedName name="cst_wskakunin_kyoka01_KYOKA_DATE">DATA!$F$1126</definedName>
    <definedName name="cst_wskakunin_kyoka01_KYOKA_NO">DATA!$F$1125</definedName>
    <definedName name="cst_wskakunin_kyoka02_BIKOU">DATA!$F$1135</definedName>
    <definedName name="cst_wskakunin_kyoka02_HOUREI">DATA!$F$1131</definedName>
    <definedName name="cst_wskakunin_kyoka02_JOUKOU">DATA!$F$1132</definedName>
    <definedName name="cst_wskakunin_kyoka02_KYOKA_DATE">DATA!$F$1134</definedName>
    <definedName name="cst_wskakunin_kyoka02_KYOKA_NO">DATA!$F$1133</definedName>
    <definedName name="cst_wskakunin_kyoka03_BIKOU">DATA!$F$1143</definedName>
    <definedName name="cst_wskakunin_kyoka03_HOUREI">DATA!$F$1139</definedName>
    <definedName name="cst_wskakunin_kyoka03_JOUKOU">DATA!$F$1140</definedName>
    <definedName name="cst_wskakunin_kyoka03_KYOKA_DATE">DATA!$F$1142</definedName>
    <definedName name="cst_wskakunin_kyoka03_KYOKA_NO">DATA!$F$1141</definedName>
    <definedName name="cst_wskakunin_LAST_ISSUE_DATE">DATA!$F$56</definedName>
    <definedName name="cst_wskakunin_LAST_ISSUE_NAME">DATA!$F$57</definedName>
    <definedName name="cst_wskakunin_LAST_ISSUE_NO">DATA!$F$55</definedName>
    <definedName name="cst_wskakunin_LIMIT_KENPEI_RITU">DATA!$F$972</definedName>
    <definedName name="cst_wskakunin_LIMIT_YOUSEKI_RITU">DATA!$F$971</definedName>
    <definedName name="cst_wskakunin_NOBE_MENSEKI">DATA!$F$1086</definedName>
    <definedName name="cst_wskakunin_NOBE_MENSEKI_BITIKUSOUKO_IGAI">DATA!$F$1052</definedName>
    <definedName name="cst_wskakunin_NOBE_MENSEKI_BITIKUSOUKO_SHINSEI">DATA!$F$1051</definedName>
    <definedName name="cst_wskakunin_NOBE_MENSEKI_BITIKUSOUKO_TOTAL">DATA!$F$1053</definedName>
    <definedName name="cst_wskakunin_NOBE_MENSEKI_BUILD_IGAI">DATA!$F$1027</definedName>
    <definedName name="cst_wskakunin_NOBE_MENSEKI_BUILD_SHINSEI">DATA!$F$1026</definedName>
    <definedName name="cst_wskakunin_NOBE_MENSEKI_BUILD_TOTAL">DATA!$F$1028</definedName>
    <definedName name="cst_wskakunin_NOBE_MENSEKI_CHOSUISOU_IGAI">DATA!$F$1067</definedName>
    <definedName name="cst_wskakunin_NOBE_MENSEKI_CHOSUISOU_SHINSEI">DATA!$F$1066</definedName>
    <definedName name="cst_wskakunin_NOBE_MENSEKI_CHOSUISOU_TOTAL">DATA!$F$1068</definedName>
    <definedName name="cst_wskakunin_NOBE_MENSEKI_JIKAHATUDEN_IGAI">DATA!$F$1062</definedName>
    <definedName name="cst_wskakunin_NOBE_MENSEKI_JIKAHATUDEN_SHINSEI">DATA!$F$1061</definedName>
    <definedName name="cst_wskakunin_NOBE_MENSEKI_JIKAHATUDEN_TOTAL">DATA!$F$1063</definedName>
    <definedName name="cst_wskakunin_NOBE_MENSEKI_JYUTAKU_IGAI">DATA!$F$1077</definedName>
    <definedName name="cst_wskakunin_NOBE_MENSEKI_JYUTAKU_SHINSEI">DATA!$F$1076</definedName>
    <definedName name="cst_wskakunin_NOBE_MENSEKI_JYUTAKU_TOTAL">DATA!$F$1078</definedName>
    <definedName name="cst_wskakunin_NOBE_MENSEKI_KYOYOU_IGAI">DATA!$F$1042</definedName>
    <definedName name="cst_wskakunin_NOBE_MENSEKI_KYOYOU_SHINSEI">DATA!$F$1041</definedName>
    <definedName name="cst_wskakunin_NOBE_MENSEKI_KYOYOU_TOTAL">DATA!$F$1043</definedName>
    <definedName name="cst_wskakunin_NOBE_MENSEKI_ROUJIN_IGAI">DATA!$F$1082</definedName>
    <definedName name="cst_wskakunin_NOBE_MENSEKI_ROUJIN_SHINSEI">DATA!$F$1081</definedName>
    <definedName name="cst_wskakunin_NOBE_MENSEKI_ROUJIN_TOTAL">DATA!$F$1083</definedName>
    <definedName name="cst_wskakunin_NOBE_MENSEKI_SYAKO_IGAI">DATA!$F$1047</definedName>
    <definedName name="cst_wskakunin_NOBE_MENSEKI_SYAKO_SHINSEI">DATA!$F$1046</definedName>
    <definedName name="cst_wskakunin_NOBE_MENSEKI_SYAKO_TOTAL">DATA!$F$1048</definedName>
    <definedName name="cst_wskakunin_NOBE_MENSEKI_SYOUKOURO_IGAI">DATA!$F$1037</definedName>
    <definedName name="cst_wskakunin_NOBE_MENSEKI_SYOUKOURO_SHINSEI">DATA!$F$1036</definedName>
    <definedName name="cst_wskakunin_NOBE_MENSEKI_SYOUKOURO_TOTAL">DATA!$F$1038</definedName>
    <definedName name="cst_wskakunin_NOBE_MENSEKI_TAKUHAI_IGAI">DATA!$F$1072</definedName>
    <definedName name="cst_wskakunin_NOBE_MENSEKI_TAKUHAI_SHINSEI">DATA!$F$1071</definedName>
    <definedName name="cst_wskakunin_NOBE_MENSEKI_TAKUHAI_TOTAL">DATA!$F$1073</definedName>
    <definedName name="cst_wskakunin_NOBE_MENSEKI_TIKAI_IGAI">DATA!$F$1032</definedName>
    <definedName name="cst_wskakunin_NOBE_MENSEKI_TIKAI_SHINSEI">DATA!$F$1031</definedName>
    <definedName name="cst_wskakunin_NOBE_MENSEKI_TIKAI_TOTAL">DATA!$F$1033</definedName>
    <definedName name="cst_wskakunin_NOBE_MENSEKI_TIKUDENTI_IGAI">DATA!$F$1057</definedName>
    <definedName name="cst_wskakunin_NOBE_MENSEKI_TIKUDENTI_SHINSEI">DATA!$F$1056</definedName>
    <definedName name="cst_wskakunin_NOBE_MENSEKI_TIKUDENTI_TOTAL">DATA!$F$1058</definedName>
    <definedName name="cst_wskakunin_owner1__address">DATA!$F$99</definedName>
    <definedName name="cst_wskakunin_owner1__space">DATA!$F$101</definedName>
    <definedName name="cst_wskakunin_owner1__space_KANA">DATA!$F$95</definedName>
    <definedName name="cst_wskakunin_owner1__space_KANA2">DATA!$F$96</definedName>
    <definedName name="cst_wskakunin_owner1__space2">DATA!$F$102</definedName>
    <definedName name="cst_wskakunin_owner1__space3">DATA!$F$103</definedName>
    <definedName name="cst_wskakunin_owner1__space4">DATA!$F$104</definedName>
    <definedName name="cst_wskakunin_owner1_JIMU_NAME">DATA!$F$89</definedName>
    <definedName name="cst_wskakunin_owner1_JIMU_NAME_KANA">DATA!$F$90</definedName>
    <definedName name="cst_wskakunin_owner1_NAME">DATA!$F$93</definedName>
    <definedName name="cst_wskakunin_owner1_NAME_KANA">DATA!$F$94</definedName>
    <definedName name="cst_wskakunin_owner1_POST">DATA!$F$91</definedName>
    <definedName name="cst_wskakunin_owner1_POST_KANA">DATA!$F$92</definedName>
    <definedName name="cst_wskakunin_owner1_TEL">DATA!$F$100</definedName>
    <definedName name="cst_wskakunin_owner1_ZIP">DATA!$F$97</definedName>
    <definedName name="cst_wskakunin_owner1_ZIP2">DATA!$F$98</definedName>
    <definedName name="cst_wskakunin_owner2__address">DATA!$F$114</definedName>
    <definedName name="cst_wskakunin_owner2__space">DATA!$F$116</definedName>
    <definedName name="cst_wskakunin_owner2__space2">DATA!$F$117</definedName>
    <definedName name="cst_wskakunin_owner2__space3">DATA!$F$118</definedName>
    <definedName name="cst_wskakunin_owner2_JIMU_NAME">DATA!$F$107</definedName>
    <definedName name="cst_wskakunin_owner2_JIMU_NAME_KANA">DATA!$F$108</definedName>
    <definedName name="cst_wskakunin_owner2_NAME">DATA!$F$111</definedName>
    <definedName name="cst_wskakunin_owner2_NAME_KANA">DATA!$F$112</definedName>
    <definedName name="cst_wskakunin_owner2_POST">DATA!$F$109</definedName>
    <definedName name="cst_wskakunin_owner2_POST_KANA">DATA!$F$110</definedName>
    <definedName name="cst_wskakunin_owner2_TEL">DATA!$F$115</definedName>
    <definedName name="cst_wskakunin_owner2_ZIP">DATA!$F$113</definedName>
    <definedName name="cst_wskakunin_owner3__address">DATA!$F$128</definedName>
    <definedName name="cst_wskakunin_owner3__space">DATA!$F$130</definedName>
    <definedName name="cst_wskakunin_owner3__space3">DATA!$F$131</definedName>
    <definedName name="cst_wskakunin_owner3_JIMU_NAME">DATA!$F$121</definedName>
    <definedName name="cst_wskakunin_owner3_JIMU_NAME_KANA">DATA!$F$122</definedName>
    <definedName name="cst_wskakunin_owner3_NAME">DATA!$F$125</definedName>
    <definedName name="cst_wskakunin_owner3_NAME_KANA">DATA!$F$126</definedName>
    <definedName name="cst_wskakunin_owner3_POST">DATA!$F$123</definedName>
    <definedName name="cst_wskakunin_owner3_POST_KANA">DATA!$F$124</definedName>
    <definedName name="cst_wskakunin_owner3_TEL">DATA!$F$129</definedName>
    <definedName name="cst_wskakunin_owner3_ZIP">DATA!$F$127</definedName>
    <definedName name="cst_wskakunin_owner4__address">DATA!$F$141</definedName>
    <definedName name="cst_wskakunin_owner4__space">DATA!$F$143</definedName>
    <definedName name="cst_wskakunin_owner4_JIMU_NAME">DATA!$F$134</definedName>
    <definedName name="cst_wskakunin_owner4_JIMU_NAME_KANA">DATA!$F$135</definedName>
    <definedName name="cst_wskakunin_owner4_NAME">DATA!$F$138</definedName>
    <definedName name="cst_wskakunin_owner4_NAME_KANA">DATA!$F$139</definedName>
    <definedName name="cst_wskakunin_owner4_POST">DATA!$F$136</definedName>
    <definedName name="cst_wskakunin_owner4_POST_KANA">DATA!$F$137</definedName>
    <definedName name="cst_wskakunin_owner4_TEL">DATA!$F$142</definedName>
    <definedName name="cst_wskakunin_owner4_ZIP">DATA!$F$140</definedName>
    <definedName name="cst_wskakunin_owner5__address">DATA!$F$153</definedName>
    <definedName name="cst_wskakunin_owner5__space">DATA!$F$155</definedName>
    <definedName name="cst_wskakunin_owner5_JIMU_NAME">DATA!$F$146</definedName>
    <definedName name="cst_wskakunin_owner5_JIMU_NAME_KANA">DATA!$F$147</definedName>
    <definedName name="cst_wskakunin_owner5_NAME">DATA!$F$150</definedName>
    <definedName name="cst_wskakunin_owner5_NAME_KANA">DATA!$F$151</definedName>
    <definedName name="cst_wskakunin_owner5_POST">DATA!$F$148</definedName>
    <definedName name="cst_wskakunin_owner5_POST_KANA">DATA!$F$149</definedName>
    <definedName name="cst_wskakunin_owner5_TEL">DATA!$F$154</definedName>
    <definedName name="cst_wskakunin_owner5_ZIP">DATA!$F$152</definedName>
    <definedName name="cst_wskakunin_owner6__address">DATA!$F$165</definedName>
    <definedName name="cst_wskakunin_owner6__space2">DATA!$F$176</definedName>
    <definedName name="cst_wskakunin_owner6__space3">DATA!$F$167</definedName>
    <definedName name="cst_wskakunin_owner6_JIMU_NAME">DATA!$F$158</definedName>
    <definedName name="cst_wskakunin_owner6_JIMU_NAME_KANA">DATA!$F$159</definedName>
    <definedName name="cst_wskakunin_owner6_NAME">DATA!$F$162</definedName>
    <definedName name="cst_wskakunin_owner6_NAME_KANA">DATA!$F$163</definedName>
    <definedName name="cst_wskakunin_owner6_POST">DATA!$F$160</definedName>
    <definedName name="cst_wskakunin_owner6_POST_KANA">DATA!$F$161</definedName>
    <definedName name="cst_wskakunin_owner6_TEL">DATA!$F$166</definedName>
    <definedName name="cst_wskakunin_owner6_ZIP">DATA!$F$164</definedName>
    <definedName name="cst_wskakunin_owner7__address">DATA!$F$177</definedName>
    <definedName name="cst_wskakunin_owner7_JIMU_NAME">DATA!$F$170</definedName>
    <definedName name="cst_wskakunin_owner7_JIMU_NAME_KANA">DATA!$F$171</definedName>
    <definedName name="cst_wskakunin_owner7_NAME">DATA!$F$174</definedName>
    <definedName name="cst_wskakunin_owner7_NAME_KANA">DATA!$F$175</definedName>
    <definedName name="cst_wskakunin_owner7_POST">DATA!$F$172</definedName>
    <definedName name="cst_wskakunin_owner7_POST_KANA">DATA!$F$173</definedName>
    <definedName name="cst_wskakunin_owner7_TEL">DATA!$F$178</definedName>
    <definedName name="cst_wskakunin_owner7_ZIP">DATA!$F$176</definedName>
    <definedName name="cst_wskakunin_owner8__address">DATA!$F$188</definedName>
    <definedName name="cst_wskakunin_owner8_JIMU_NAME">DATA!$F$181</definedName>
    <definedName name="cst_wskakunin_owner8_JIMU_NAME_KANA">DATA!$F$182</definedName>
    <definedName name="cst_wskakunin_owner8_NAME">DATA!$F$185</definedName>
    <definedName name="cst_wskakunin_owner8_NAME_KANA">DATA!$F$186</definedName>
    <definedName name="cst_wskakunin_owner8_POST">DATA!$F$183</definedName>
    <definedName name="cst_wskakunin_owner8_POST_KANA">DATA!$F$184</definedName>
    <definedName name="cst_wskakunin_owner8_TEL">DATA!$F$189</definedName>
    <definedName name="cst_wskakunin_owner8_ZIP">DATA!$F$187</definedName>
    <definedName name="cst_wskakunin_owner9__address">DATA!$F$199</definedName>
    <definedName name="cst_wskakunin_owner9_JIMU_NAME">DATA!$F$192</definedName>
    <definedName name="cst_wskakunin_owner9_JIMU_NAME_KANA">DATA!$F$193</definedName>
    <definedName name="cst_wskakunin_owner9_NAME">DATA!$F$196</definedName>
    <definedName name="cst_wskakunin_owner9_NAME_KANA">DATA!$F$197</definedName>
    <definedName name="cst_wskakunin_owner9_POST">DATA!$F$194</definedName>
    <definedName name="cst_wskakunin_owner9_POST_KANA">DATA!$F$195</definedName>
    <definedName name="cst_wskakunin_owner9_TEL">DATA!$F$200</definedName>
    <definedName name="cst_wskakunin_owner9_ZIP">DATA!$F$198</definedName>
    <definedName name="cst_wskakunin_P1_HENKOU_GAIYOU">DATA!$F$58</definedName>
    <definedName name="cst_wskakunin_P2_BIKOU">DATA!$F$849</definedName>
    <definedName name="cst_wskakunin_P3_BIKOU">DATA!$F$1183</definedName>
    <definedName name="cst_wskakunin_P3_SONOTA">DATA!$F$1181</definedName>
    <definedName name="cst_wskakunin_p4_1__kouji">DATA!$F$890</definedName>
    <definedName name="cst_wskakunin_p4_1_KAISU_TIKAI">DATA!$F$892</definedName>
    <definedName name="cst_wskakunin_p4_1_KAISU_TIKAI_NOZOKU">DATA!$F$891</definedName>
    <definedName name="cst_wskakunin_p4_1_KOUZOU1">DATA!$F$893</definedName>
    <definedName name="cst_wskakunin_p4_1_KOUZOU2">DATA!$F$894</definedName>
    <definedName name="cst_wskakunin_p4_1_TAKASA_KEN_MAX">DATA!$F$896</definedName>
    <definedName name="cst_wskakunin_p4_1_TAKASA_MAX">DATA!$F$895</definedName>
    <definedName name="cst_wskakunin_p4_1_youto1_YOUTO">DATA!$F$881</definedName>
    <definedName name="cst_wskakunin_p4_1_youto1_YOUTO_1">DATA!$F$883</definedName>
    <definedName name="cst_wskakunin_p4_1_youto1_YOUTO_2">DATA!$F$884</definedName>
    <definedName name="cst_wskakunin_p4_1_youto1_YOUTO_3">DATA!$F$885</definedName>
    <definedName name="cst_wskakunin_p4_1_youto1_YOUTO_4">DATA!$F$886</definedName>
    <definedName name="cst_wskakunin_p4_1_youto1_YOUTO_5">DATA!$F$887</definedName>
    <definedName name="cst_wskakunin_p4_1_youto1_YOUTO_6">DATA!$F$888</definedName>
    <definedName name="cst_wskakunin_p4_1_youto1_YOUTO_9">DATA!$F$889</definedName>
    <definedName name="cst_wskakunin_p4_1_youto1_YOUTO_CODE">DATA!$F$882</definedName>
    <definedName name="cst_wskakunin_p4_1_YUKA_MENSEKI_SHINSEI">DATA!$F$897</definedName>
    <definedName name="cst_wskakunin_p4_2_KAISU_TIKAI">DATA!$F$900</definedName>
    <definedName name="cst_wskakunin_p4_2_KAISU_TIKAI_NOZOKU">DATA!$F$899</definedName>
    <definedName name="cst_wskakunin_p4_2_YUKA_MENSEKI_SHINSEI">DATA!$F$901</definedName>
    <definedName name="cst_wskakunin_p4_3_KAISU_TIKAI">DATA!$F$904</definedName>
    <definedName name="cst_wskakunin_p4_3_KAISU_TIKAI_NOZOKU">DATA!$F$903</definedName>
    <definedName name="cst_wskakunin_p4_3_YUKA_MENSEKI_SHINSEI">DATA!$F$905</definedName>
    <definedName name="cst_wskakunin_PAGE1_ALTERATION_NOTE">DATA!$F$65</definedName>
    <definedName name="cst_wskakunin_sekkei1__address">DATA!$F$305</definedName>
    <definedName name="cst_wskakunin_sekkei1__sikaku">DATA!$F$293</definedName>
    <definedName name="cst_wskakunin_sekkei1_DOC">DATA!$F$307</definedName>
    <definedName name="cst_wskakunin_sekkei1_JIMU__sikaku">DATA!$F$298</definedName>
    <definedName name="cst_wskakunin_sekkei1_JIMU_NAME">DATA!$F$302</definedName>
    <definedName name="cst_wskakunin_sekkei1_JIMU_NO">DATA!$F$301</definedName>
    <definedName name="cst_wskakunin_sekkei1_JIMU_SIKAKU">DATA!$F$299</definedName>
    <definedName name="cst_wskakunin_sekkei1_JIMU_TOUROKU_KIKAN">DATA!$F$300</definedName>
    <definedName name="cst_wskakunin_sekkei1_jimuname_name">DATA!$F$303</definedName>
    <definedName name="cst_wskakunin_sekkei1_KENTIKUSI_NO">DATA!$F$296</definedName>
    <definedName name="cst_wskakunin_sekkei1_NAME">DATA!$F$297</definedName>
    <definedName name="cst_wskakunin_sekkei1_SIKAKU">DATA!$F$294</definedName>
    <definedName name="cst_wskakunin_sekkei1_TEL">DATA!$F$306</definedName>
    <definedName name="cst_wskakunin_sekkei1_TOUROKU_KIKAN">DATA!$F$295</definedName>
    <definedName name="cst_wskakunin_sekkei1_ZIP">DATA!$F$304</definedName>
    <definedName name="cst_wskakunin_sekkei10__address">DATA!$F$458</definedName>
    <definedName name="cst_wskakunin_sekkei10__sikaku">DATA!$F$446</definedName>
    <definedName name="cst_wskakunin_sekkei10_DOC">DATA!$F$460</definedName>
    <definedName name="cst_wskakunin_sekkei10_JIMU__sikaku">DATA!$F$451</definedName>
    <definedName name="cst_wskakunin_sekkei10_JIMU_NAME">DATA!$F$455</definedName>
    <definedName name="cst_wskakunin_sekkei10_JIMU_NO">DATA!$F$454</definedName>
    <definedName name="cst_wskakunin_sekkei10_JIMU_SIKAKU">DATA!$F$452</definedName>
    <definedName name="cst_wskakunin_sekkei10_JIMU_TOUROKU_KIKAN">DATA!$F$453</definedName>
    <definedName name="cst_wskakunin_sekkei10_jimuname_name">DATA!$F$456</definedName>
    <definedName name="cst_wskakunin_sekkei10_KENTIKUSI_NO">DATA!$F$449</definedName>
    <definedName name="cst_wskakunin_sekkei10_NAME">DATA!$F$450</definedName>
    <definedName name="cst_wskakunin_sekkei10_SIKAKU">DATA!$F$447</definedName>
    <definedName name="cst_wskakunin_sekkei10_TEL">DATA!$F$459</definedName>
    <definedName name="cst_wskakunin_sekkei10_TOUROKU_KIKAN">DATA!$F$448</definedName>
    <definedName name="cst_wskakunin_sekkei10_ZIP">DATA!$F$457</definedName>
    <definedName name="cst_wskakunin_sekkei11__address">DATA!$F$475</definedName>
    <definedName name="cst_wskakunin_sekkei11__sikaku">DATA!$F$463</definedName>
    <definedName name="cst_wskakunin_sekkei11_DOC">DATA!$F$477</definedName>
    <definedName name="cst_wskakunin_sekkei11_JIMU__sikaku">DATA!$F$468</definedName>
    <definedName name="cst_wskakunin_sekkei11_JIMU_NAME">DATA!$F$472</definedName>
    <definedName name="cst_wskakunin_sekkei11_JIMU_NO">DATA!$F$471</definedName>
    <definedName name="cst_wskakunin_sekkei11_JIMU_SIKAKU">DATA!$F$469</definedName>
    <definedName name="cst_wskakunin_sekkei11_JIMU_TOUROKU_KIKAN">DATA!$F$470</definedName>
    <definedName name="cst_wskakunin_sekkei11_jimuname_name">DATA!$F$473</definedName>
    <definedName name="cst_wskakunin_sekkei11_KENTIKUSI_NO">DATA!$F$466</definedName>
    <definedName name="cst_wskakunin_sekkei11_NAME">DATA!$F$467</definedName>
    <definedName name="cst_wskakunin_sekkei11_SIKAKU">DATA!$F$464</definedName>
    <definedName name="cst_wskakunin_sekkei11_TEL">DATA!$F$476</definedName>
    <definedName name="cst_wskakunin_sekkei11_TOUROKU_KIKAN">DATA!$F$465</definedName>
    <definedName name="cst_wskakunin_sekkei11_ZIP">DATA!$F$474</definedName>
    <definedName name="cst_wskakunin_sekkei12__address">DATA!$F$492</definedName>
    <definedName name="cst_wskakunin_sekkei12__sikaku">DATA!$F$480</definedName>
    <definedName name="cst_wskakunin_sekkei12_DOC">DATA!$F$494</definedName>
    <definedName name="cst_wskakunin_sekkei12_JIMU__sikaku">DATA!$F$485</definedName>
    <definedName name="cst_wskakunin_sekkei12_JIMU_NAME">DATA!$F$489</definedName>
    <definedName name="cst_wskakunin_sekkei12_JIMU_NO">DATA!$F$488</definedName>
    <definedName name="cst_wskakunin_sekkei12_JIMU_SIKAKU">DATA!$F$486</definedName>
    <definedName name="cst_wskakunin_sekkei12_JIMU_TOUROKU_KIKAN">DATA!$F$487</definedName>
    <definedName name="cst_wskakunin_sekkei12_jimuname_name">DATA!$F$490</definedName>
    <definedName name="cst_wskakunin_sekkei12_KENTIKUSI_NO">DATA!$F$483</definedName>
    <definedName name="cst_wskakunin_sekkei12_NAME">DATA!$F$484</definedName>
    <definedName name="cst_wskakunin_sekkei12_SIKAKU">DATA!$F$481</definedName>
    <definedName name="cst_wskakunin_sekkei12_TEL">DATA!$F$493</definedName>
    <definedName name="cst_wskakunin_sekkei12_TOUROKU_KIKAN">DATA!$F$482</definedName>
    <definedName name="cst_wskakunin_sekkei12_ZIP">DATA!$F$491</definedName>
    <definedName name="cst_wskakunin_sekkei2__address">DATA!$F$322</definedName>
    <definedName name="cst_wskakunin_sekkei2__sikaku">DATA!$F$310</definedName>
    <definedName name="cst_wskakunin_sekkei2_DOC">DATA!$F$324</definedName>
    <definedName name="cst_wskakunin_sekkei2_JIMU__sikaku">DATA!$F$315</definedName>
    <definedName name="cst_wskakunin_sekkei2_JIMU_NAME">DATA!$F$319</definedName>
    <definedName name="cst_wskakunin_sekkei2_JIMU_NO">DATA!$F$318</definedName>
    <definedName name="cst_wskakunin_sekkei2_JIMU_SIKAKU">DATA!$F$316</definedName>
    <definedName name="cst_wskakunin_sekkei2_JIMU_TOUROKU_KIKAN">DATA!$F$317</definedName>
    <definedName name="cst_wskakunin_sekkei2_jimuname_name">DATA!$F$320</definedName>
    <definedName name="cst_wskakunin_sekkei2_KENTIKUSI_NO">DATA!$F$313</definedName>
    <definedName name="cst_wskakunin_sekkei2_NAME">DATA!$F$314</definedName>
    <definedName name="cst_wskakunin_sekkei2_SIKAKU">DATA!$F$311</definedName>
    <definedName name="cst_wskakunin_sekkei2_TEL">DATA!$F$323</definedName>
    <definedName name="cst_wskakunin_sekkei2_TOUROKU_KIKAN">DATA!$F$312</definedName>
    <definedName name="cst_wskakunin_sekkei2_ZIP">DATA!$F$321</definedName>
    <definedName name="cst_wskakunin_sekkei3__address">DATA!$F$339</definedName>
    <definedName name="cst_wskakunin_sekkei3__sikaku">DATA!$F$327</definedName>
    <definedName name="cst_wskakunin_sekkei3_DOC">DATA!$F$341</definedName>
    <definedName name="cst_wskakunin_sekkei3_JIMU__sikaku">DATA!$F$332</definedName>
    <definedName name="cst_wskakunin_sekkei3_JIMU_NAME">DATA!$F$336</definedName>
    <definedName name="cst_wskakunin_sekkei3_JIMU_NO">DATA!$F$335</definedName>
    <definedName name="cst_wskakunin_sekkei3_JIMU_SIKAKU">DATA!$F$333</definedName>
    <definedName name="cst_wskakunin_sekkei3_JIMU_TOUROKU_KIKAN">DATA!$F$334</definedName>
    <definedName name="cst_wskakunin_sekkei3_jimuname_name">DATA!$F$337</definedName>
    <definedName name="cst_wskakunin_sekkei3_KENTIKUSI_NO">DATA!$F$330</definedName>
    <definedName name="cst_wskakunin_sekkei3_NAME">DATA!$F$331</definedName>
    <definedName name="cst_wskakunin_sekkei3_SIKAKU">DATA!$F$328</definedName>
    <definedName name="cst_wskakunin_sekkei3_TEL">DATA!$F$340</definedName>
    <definedName name="cst_wskakunin_sekkei3_TOUROKU_KIKAN">DATA!$F$329</definedName>
    <definedName name="cst_wskakunin_sekkei3_ZIP">DATA!$F$338</definedName>
    <definedName name="cst_wskakunin_sekkei4__address">DATA!$F$356</definedName>
    <definedName name="cst_wskakunin_sekkei4__sikaku">DATA!$F$344</definedName>
    <definedName name="cst_wskakunin_sekkei4_DOC">DATA!$F$358</definedName>
    <definedName name="cst_wskakunin_sekkei4_JIMU__sikaku">DATA!$F$349</definedName>
    <definedName name="cst_wskakunin_sekkei4_JIMU_NAME">DATA!$F$353</definedName>
    <definedName name="cst_wskakunin_sekkei4_JIMU_NO">DATA!$F$352</definedName>
    <definedName name="cst_wskakunin_sekkei4_JIMU_SIKAKU">DATA!$F$350</definedName>
    <definedName name="cst_wskakunin_sekkei4_JIMU_TOUROKU_KIKAN">DATA!$F$351</definedName>
    <definedName name="cst_wskakunin_sekkei4_jimuname_name">DATA!$F$354</definedName>
    <definedName name="cst_wskakunin_sekkei4_KENTIKUSI_NO">DATA!$F$347</definedName>
    <definedName name="cst_wskakunin_sekkei4_NAME">DATA!$F$348</definedName>
    <definedName name="cst_wskakunin_sekkei4_SIKAKU">DATA!$F$345</definedName>
    <definedName name="cst_wskakunin_sekkei4_TEL">DATA!$F$357</definedName>
    <definedName name="cst_wskakunin_sekkei4_TOUROKU_KIKAN">DATA!$F$346</definedName>
    <definedName name="cst_wskakunin_sekkei4_ZIP">DATA!$F$355</definedName>
    <definedName name="cst_wskakunin_sekkei5__address">DATA!$F$373</definedName>
    <definedName name="cst_wskakunin_sekkei5__sikaku">DATA!$F$361</definedName>
    <definedName name="cst_wskakunin_sekkei5_DOC">DATA!$F$375</definedName>
    <definedName name="cst_wskakunin_sekkei5_JIMU__sikaku">DATA!$F$366</definedName>
    <definedName name="cst_wskakunin_sekkei5_JIMU_NAME">DATA!$F$370</definedName>
    <definedName name="cst_wskakunin_sekkei5_JIMU_NO">DATA!$F$369</definedName>
    <definedName name="cst_wskakunin_sekkei5_JIMU_SIKAKU">DATA!$F$367</definedName>
    <definedName name="cst_wskakunin_sekkei5_JIMU_TOUROKU_KIKAN">DATA!$F$368</definedName>
    <definedName name="cst_wskakunin_sekkei5_jimuname_name">DATA!$F$371</definedName>
    <definedName name="cst_wskakunin_sekkei5_KENTIKUSI_NO">DATA!$F$364</definedName>
    <definedName name="cst_wskakunin_sekkei5_NAME">DATA!$F$365</definedName>
    <definedName name="cst_wskakunin_sekkei5_SIKAKU">DATA!$F$362</definedName>
    <definedName name="cst_wskakunin_sekkei5_TEL">DATA!$F$374</definedName>
    <definedName name="cst_wskakunin_sekkei5_TOUROKU_KIKAN">DATA!$F$363</definedName>
    <definedName name="cst_wskakunin_sekkei5_ZIP">DATA!$F$372</definedName>
    <definedName name="cst_wskakunin_sekkei6__address">DATA!$F$390</definedName>
    <definedName name="cst_wskakunin_sekkei6__sikaku">DATA!$F$378</definedName>
    <definedName name="cst_wskakunin_sekkei6_DOC">DATA!$F$392</definedName>
    <definedName name="cst_wskakunin_sekkei6_JIMU__sikaku">DATA!$F$383</definedName>
    <definedName name="cst_wskakunin_sekkei6_JIMU_NAME">DATA!$F$387</definedName>
    <definedName name="cst_wskakunin_sekkei6_JIMU_NO">DATA!$F$386</definedName>
    <definedName name="cst_wskakunin_sekkei6_JIMU_SIKAKU">DATA!$F$384</definedName>
    <definedName name="cst_wskakunin_sekkei6_JIMU_TOUROKU_KIKAN">DATA!$F$385</definedName>
    <definedName name="cst_wskakunin_sekkei6_jimuname_name">DATA!$F$388</definedName>
    <definedName name="cst_wskakunin_sekkei6_KENTIKUSI_NO">DATA!$F$381</definedName>
    <definedName name="cst_wskakunin_sekkei6_NAME">DATA!$F$382</definedName>
    <definedName name="cst_wskakunin_sekkei6_SIKAKU">DATA!$F$379</definedName>
    <definedName name="cst_wskakunin_sekkei6_TEL">DATA!$F$391</definedName>
    <definedName name="cst_wskakunin_sekkei6_TOUROKU_KIKAN">DATA!$F$380</definedName>
    <definedName name="cst_wskakunin_sekkei6_ZIP">DATA!$F$389</definedName>
    <definedName name="cst_wskakunin_sekkei7__address">DATA!$F$407</definedName>
    <definedName name="cst_wskakunin_sekkei7__sikaku">DATA!$F$395</definedName>
    <definedName name="cst_wskakunin_sekkei7_DOC">DATA!$F$409</definedName>
    <definedName name="cst_wskakunin_sekkei7_JIMU__sikaku">DATA!$F$400</definedName>
    <definedName name="cst_wskakunin_sekkei7_JIMU_NAME">DATA!$F$404</definedName>
    <definedName name="cst_wskakunin_sekkei7_JIMU_NO">DATA!$F$403</definedName>
    <definedName name="cst_wskakunin_sekkei7_JIMU_SIKAKU">DATA!$F$401</definedName>
    <definedName name="cst_wskakunin_sekkei7_JIMU_TOUROKU_KIKAN">DATA!$F$402</definedName>
    <definedName name="cst_wskakunin_sekkei7_jimuname_name">DATA!$F$405</definedName>
    <definedName name="cst_wskakunin_sekkei7_KENTIKUSI_NO">DATA!$F$398</definedName>
    <definedName name="cst_wskakunin_sekkei7_NAME">DATA!$F$399</definedName>
    <definedName name="cst_wskakunin_sekkei7_SIKAKU">DATA!$F$396</definedName>
    <definedName name="cst_wskakunin_sekkei7_TEL">DATA!$F$408</definedName>
    <definedName name="cst_wskakunin_sekkei7_TOUROKU_KIKAN">DATA!$F$397</definedName>
    <definedName name="cst_wskakunin_sekkei7_ZIP">DATA!$F$406</definedName>
    <definedName name="cst_wskakunin_sekkei8__address">DATA!$F$424</definedName>
    <definedName name="cst_wskakunin_sekkei8__sikaku">DATA!$F$412</definedName>
    <definedName name="cst_wskakunin_sekkei8_DOC">DATA!$F$426</definedName>
    <definedName name="cst_wskakunin_sekkei8_JIMU__sikaku">DATA!$F$417</definedName>
    <definedName name="cst_wskakunin_sekkei8_JIMU_NAME">DATA!$F$421</definedName>
    <definedName name="cst_wskakunin_sekkei8_JIMU_NO">DATA!$F$420</definedName>
    <definedName name="cst_wskakunin_sekkei8_JIMU_SIKAKU">DATA!$F$418</definedName>
    <definedName name="cst_wskakunin_sekkei8_JIMU_TOUROKU_KIKAN">DATA!$F$419</definedName>
    <definedName name="cst_wskakunin_sekkei8_jimuname_name">DATA!$F$422</definedName>
    <definedName name="cst_wskakunin_sekkei8_KENTIKUSI_NO">DATA!$F$415</definedName>
    <definedName name="cst_wskakunin_sekkei8_NAME">DATA!$F$416</definedName>
    <definedName name="cst_wskakunin_sekkei8_SIKAKU">DATA!$F$413</definedName>
    <definedName name="cst_wskakunin_sekkei8_TEL">DATA!$F$425</definedName>
    <definedName name="cst_wskakunin_sekkei8_TOUROKU_KIKAN">DATA!$F$414</definedName>
    <definedName name="cst_wskakunin_sekkei8_ZIP">DATA!$F$423</definedName>
    <definedName name="cst_wskakunin_sekkei9__address">DATA!$F$441</definedName>
    <definedName name="cst_wskakunin_sekkei9__sikaku">DATA!$F$429</definedName>
    <definedName name="cst_wskakunin_sekkei9_DOC">DATA!$F$443</definedName>
    <definedName name="cst_wskakunin_sekkei9_JIMU__sikaku">DATA!$F$434</definedName>
    <definedName name="cst_wskakunin_sekkei9_JIMU_NAME">DATA!$F$438</definedName>
    <definedName name="cst_wskakunin_sekkei9_JIMU_NO">DATA!$F$437</definedName>
    <definedName name="cst_wskakunin_sekkei9_JIMU_SIKAKU">DATA!$F$435</definedName>
    <definedName name="cst_wskakunin_sekkei9_JIMU_TOUROKU_KIKAN">DATA!$F$436</definedName>
    <definedName name="cst_wskakunin_sekkei9_jimuname_name">DATA!$F$439</definedName>
    <definedName name="cst_wskakunin_sekkei9_KENTIKUSI_NO">DATA!$F$432</definedName>
    <definedName name="cst_wskakunin_sekkei9_NAME">DATA!$F$433</definedName>
    <definedName name="cst_wskakunin_sekkei9_SIKAKU">DATA!$F$430</definedName>
    <definedName name="cst_wskakunin_sekkei9_TEL">DATA!$F$442</definedName>
    <definedName name="cst_wskakunin_sekkei9_TOUROKU_KIKAN">DATA!$F$431</definedName>
    <definedName name="cst_wskakunin_sekkei9_ZIP">DATA!$F$440</definedName>
    <definedName name="cst_wskakunin_sekou1__address">DATA!$F$790</definedName>
    <definedName name="cst_wskakunin_sekou1__hajime">DATA!$F$844</definedName>
    <definedName name="cst_wskakunin_sekou1__kistar">DATA!$F$845</definedName>
    <definedName name="cst_wskakunin_sekou1_JIMU_NAME">DATA!$F$788</definedName>
    <definedName name="cst_wskakunin_sekou1_kakunin">DATA!$F$792</definedName>
    <definedName name="cst_wskakunin_sekou1_NAME">DATA!$F$784</definedName>
    <definedName name="cst_wskakunin_sekou1_SEKOU__sikaku">DATA!$F$785</definedName>
    <definedName name="cst_wskakunin_sekou1_SEKOU_NO">DATA!$F$787</definedName>
    <definedName name="cst_wskakunin_sekou1_SEKOU_SIKAKU">DATA!$F$786</definedName>
    <definedName name="cst_wskakunin_sekou1_TEL">DATA!$F$791</definedName>
    <definedName name="cst_wskakunin_sekou1_ZIP">DATA!$F$789</definedName>
    <definedName name="cst_wskakunin_sekou2__address">DATA!$F$800</definedName>
    <definedName name="cst_wskakunin_sekou2_JIMU_NAME">DATA!$F$798</definedName>
    <definedName name="cst_wskakunin_sekou2_NAME">DATA!$F$794</definedName>
    <definedName name="cst_wskakunin_sekou2_SEKOU__sikaku">DATA!$F$795</definedName>
    <definedName name="cst_wskakunin_sekou2_SEKOU_NO">DATA!$F$797</definedName>
    <definedName name="cst_wskakunin_sekou2_SEKOU_SIKAKU">DATA!$F$796</definedName>
    <definedName name="cst_wskakunin_sekou2_TEL">DATA!$F$801</definedName>
    <definedName name="cst_wskakunin_sekou2_ZIP">DATA!$F$799</definedName>
    <definedName name="cst_wskakunin_sekou3__address">DATA!$F$810</definedName>
    <definedName name="cst_wskakunin_sekou3_JIMU_NAME">DATA!$F$808</definedName>
    <definedName name="cst_wskakunin_sekou3_NAME">DATA!$F$804</definedName>
    <definedName name="cst_wskakunin_sekou3_SEKOU__sikaku">DATA!$F$805</definedName>
    <definedName name="cst_wskakunin_sekou3_SEKOU_NO">DATA!$F$807</definedName>
    <definedName name="cst_wskakunin_sekou3_SEKOU_SIKAKU">DATA!$F$806</definedName>
    <definedName name="cst_wskakunin_sekou3_TEL">DATA!$F$811</definedName>
    <definedName name="cst_wskakunin_sekou3_ZIP">DATA!$F$809</definedName>
    <definedName name="cst_wskakunin_sekou4__address">DATA!$F$820</definedName>
    <definedName name="cst_wskakunin_sekou4_JIMU_NAME">DATA!$F$818</definedName>
    <definedName name="cst_wskakunin_sekou4_NAME">DATA!$F$814</definedName>
    <definedName name="cst_wskakunin_sekou4_SEKOU__sikaku">DATA!$F$815</definedName>
    <definedName name="cst_wskakunin_sekou4_SEKOU_NO">DATA!$F$817</definedName>
    <definedName name="cst_wskakunin_sekou4_SEKOU_SIKAKU">DATA!$F$816</definedName>
    <definedName name="cst_wskakunin_sekou4_TEL">DATA!$F$821</definedName>
    <definedName name="cst_wskakunin_sekou4_ZIP">DATA!$F$819</definedName>
    <definedName name="cst_wskakunin_sekou5__address">DATA!$F$830</definedName>
    <definedName name="cst_wskakunin_sekou5_JIMU_NAME">DATA!$F$828</definedName>
    <definedName name="cst_wskakunin_sekou5_NAME">DATA!$F$824</definedName>
    <definedName name="cst_wskakunin_sekou5_SEKOU__sikaku">DATA!$F$825</definedName>
    <definedName name="cst_wskakunin_sekou5_SEKOU_NO">DATA!$F$827</definedName>
    <definedName name="cst_wskakunin_sekou5_SEKOU_SIKAKU">DATA!$F$826</definedName>
    <definedName name="cst_wskakunin_sekou5_TEL">DATA!$F$831</definedName>
    <definedName name="cst_wskakunin_sekou5_ZIP">DATA!$F$829</definedName>
    <definedName name="cst_wskakunin_sekou6__address">DATA!$F$840</definedName>
    <definedName name="cst_wskakunin_sekou6_JIMU_NAME">DATA!$F$838</definedName>
    <definedName name="cst_wskakunin_sekou6_NAME">DATA!$F$834</definedName>
    <definedName name="cst_wskakunin_sekou6_SEKOU__sikaku">DATA!$F$835</definedName>
    <definedName name="cst_wskakunin_sekou6_SEKOU_NO">DATA!$F$837</definedName>
    <definedName name="cst_wskakunin_sekou6_SEKOU_SIKAKU">DATA!$F$836</definedName>
    <definedName name="cst_wskakunin_sekou6_TEL">DATA!$F$841</definedName>
    <definedName name="cst_wskakunin_sekou6_ZIP">DATA!$F$839</definedName>
    <definedName name="cst_wskakunin_SHIKITI_MENSEKI_1_TOTAL">DATA!$F$968</definedName>
    <definedName name="cst_wskakunin_SHIKITI_MENSEKI_1_TOTAL_sintiku">DATA!$F$969</definedName>
    <definedName name="cst_wskakunin_SHIKITI_MENSEKI_1A">DATA!$F$944</definedName>
    <definedName name="cst_wskakunin_SHIKITI_MENSEKI_1B">DATA!$F$945</definedName>
    <definedName name="cst_wskakunin_SHIKITI_MENSEKI_1C">DATA!$F$946</definedName>
    <definedName name="cst_wskakunin_SHIKITI_MENSEKI_1D">DATA!$F$947</definedName>
    <definedName name="cst_wskakunin_SHIKITI_MENSEKI_2_TOTAL">DATA!$F$970</definedName>
    <definedName name="cst_wskakunin_SHIKITI_MENSEKI_2A">DATA!$F$948</definedName>
    <definedName name="cst_wskakunin_SHIKITI_MENSEKI_2B">DATA!$F$949</definedName>
    <definedName name="cst_wskakunin_SHIKITI_MENSEKI_2C">DATA!$F$950</definedName>
    <definedName name="cst_wskakunin_SHIKITI_MENSEKI_2D">DATA!$F$951</definedName>
    <definedName name="cst_wskakunin_SHIKITI_MENSEKI_BIKOU">DATA!$F$973</definedName>
    <definedName name="cst_wskakunin_SHINSEI_DATE">DATA!$F$53</definedName>
    <definedName name="cst_wskakunin_TAKASA_MAX_SHINSEI">DATA!$F$1097</definedName>
    <definedName name="cst_wskakunin_TAKASA_MAX_SONOTA">DATA!$F$1098</definedName>
    <definedName name="cst_wskakunin_tekihan01_TEKIHAN_KIKAN_ADDRESS">DATA!$F$859</definedName>
    <definedName name="cst_wskakunin_tekihan01_TEKIHAN_KIKAN_info">DATA!$F$860</definedName>
    <definedName name="cst_wskakunin_tekihan01_TEKIHAN_KIKAN_KEN__ken">DATA!$F$858</definedName>
    <definedName name="cst_wskakunin_tekihan01_TEKIHAN_KIKAN_NAME">DATA!$F$857</definedName>
    <definedName name="cst_wskakunin_tekihan01_TEKIHAN_STATE_mishinsei">DATA!$F$855</definedName>
    <definedName name="cst_wskakunin_tekihan01_TEKIHAN_STATE_shinsei">DATA!$F$854</definedName>
    <definedName name="cst_wskakunin_tekihan01_TEKIHAN_STATE_shinseifuyou">DATA!$F$856</definedName>
    <definedName name="cst_wskakunin_tekihan02_TEKIHAN_KIKAN_ADDRESS">DATA!$F$863</definedName>
    <definedName name="cst_wskakunin_tekihan02_TEKIHAN_KIKAN_info">DATA!$F$864</definedName>
    <definedName name="cst_wskakunin_tekihan02_TEKIHAN_KIKAN_KEN__ken">DATA!$F$862</definedName>
    <definedName name="cst_wskakunin_tekihan02_TEKIHAN_KIKAN_NAME">DATA!$F$861</definedName>
    <definedName name="cst_wskakunin_TOKUREI_TAKASA">DATA!$F$1112</definedName>
    <definedName name="cst_wskakunin_TOKUREI_TAKASA_box_off">DATA!$F$1114</definedName>
    <definedName name="cst_wskakunin_TOKUREI_TAKASA_box_on">DATA!$F$1113</definedName>
    <definedName name="cst_wskakunin_TOKUREI_TAKASA_DOURO">DATA!$F$1117</definedName>
    <definedName name="cst_wskakunin_TOKUREI_TAKASA_KITA">DATA!$F$1119</definedName>
    <definedName name="cst_wskakunin_TOKUREI_TAKASA_RINTI">DATA!$F$1118</definedName>
    <definedName name="cst_wskakunin_TOKUREI_txt">DATA!$F$1190</definedName>
    <definedName name="cst_wskakunin_TOKUTEI_KOUJI_KANRYOU_DATE_select">DATA!$F$1206</definedName>
    <definedName name="cst_wskakunin_TOKUTEI_KOUTEI">DATA!$F$1203</definedName>
    <definedName name="cst_wskakunin_TOKUTEI_KOUTEI_inter1">DATA!$F$1204</definedName>
    <definedName name="cst_wskakunin_TOKUTEI_KOUTEI_inter2">DATA!$F$1205</definedName>
    <definedName name="cst_wskakunin_wskakunin_SONOTA_KUIKI">DATA!$F$936</definedName>
    <definedName name="cst_wskakunin_YOUSEKI_RITU">DATA!$F$1089</definedName>
    <definedName name="cst_wskakunin_YOUSEKI_RITU_A">DATA!$F$958</definedName>
    <definedName name="cst_wskakunin_YOUSEKI_RITU_B">DATA!$F$959</definedName>
    <definedName name="cst_wskakunin_YOUSEKI_RITU_C">DATA!$F$960</definedName>
    <definedName name="cst_wskakunin_YOUSEKI_RITU_D">DATA!$F$961</definedName>
    <definedName name="cst_wskakunin_YOUTO">DATA!$F$976</definedName>
    <definedName name="cst_wskakunin_YOUTO_CODE">DATA!$F$975</definedName>
    <definedName name="cst_wskakunin_YOUTO_TIIKI_A">DATA!$F$953</definedName>
    <definedName name="cst_wskakunin_YOUTO_TIIKI_B">DATA!$F$954</definedName>
    <definedName name="cst_wskakunin_YOUTO_TIIKI_C">DATA!$F$955</definedName>
    <definedName name="cst_wskakunin_YOUTO_TIIKI_D">DATA!$F$956</definedName>
    <definedName name="cst_wssonota_owner1__address">DATA!$F$80</definedName>
    <definedName name="cst_wssonota_owner1__space">DATA!$F$77</definedName>
    <definedName name="cst_wssonota_owner1_JIMU_NAME">DATA!$F$71</definedName>
    <definedName name="cst_wssonota_owner1_NAME">DATA!$F$75</definedName>
    <definedName name="cst_wssonota_owner1_POST">DATA!$F$73</definedName>
    <definedName name="cst_wssonota_owner1_TEL">DATA!$F$81</definedName>
    <definedName name="cst_wssonota_owner1_ZIP">DATA!$F$79</definedName>
    <definedName name="_xlnm.Print_Area" localSheetId="9">委任状!$A$1:$W$40</definedName>
    <definedName name="_xlnm.Print_Area" localSheetId="15">記載事項変更届!$A$1:$AA$50</definedName>
    <definedName name="_xlnm.Print_Area" localSheetId="21">計画廃止届!$A$1:$U$22</definedName>
    <definedName name="_xlnm.Print_Area" localSheetId="16">軽微な変更説明書!$A$1:$V$64</definedName>
    <definedName name="_xlnm.Print_Area" localSheetId="11">建築工事届!$A$1:$AB$122</definedName>
    <definedName name="_xlnm.Print_Area" localSheetId="13">工事監理計画届!$A$1:$AG$18</definedName>
    <definedName name="_xlnm.Print_Area" localSheetId="20">取下げ届_仮使用!$A$1:$W$26</definedName>
    <definedName name="_xlnm.Print_Area" localSheetId="17">取下げ届_確認!$A$1:$X$26</definedName>
    <definedName name="_xlnm.Print_Area" localSheetId="19">取下げ届_完了!$A$1:$X$26</definedName>
    <definedName name="_xlnm.Print_Area" localSheetId="18">取下げ届_中間!$A$1:$X$26</definedName>
    <definedName name="_xlnm.Print_Area" localSheetId="12">第四面!$A$1:$G$14</definedName>
    <definedName name="_xlnm.Print_Area" localSheetId="23">届出者別紙!$A$1:$AG$18</definedName>
    <definedName name="shinsei_build_p6_01_PAGE6_KOUZOU_KEISAN_KIND__002">DATA!$D$50</definedName>
    <definedName name="shinsei_build_p6_01_PAGE6_KOUZOU_KEISAN_KIND__004">DATA!$D$49</definedName>
    <definedName name="shinsei_build_p6_01_PAGE6_KOUZOU_KEISAN_KIND__005">DATA!$D$48</definedName>
    <definedName name="shinsei_build_YOUTO">DATA!$D$1335</definedName>
    <definedName name="shinsei_HIKIUKE_DATE">DATA!$D$38</definedName>
    <definedName name="shinsei_ISSUE_DATE">DATA!$D$43</definedName>
    <definedName name="shinsei_ISSUE_KOUFU_NAME">DATA!$D$45</definedName>
    <definedName name="shinsei_ISSUE_NO">DATA!$D$40</definedName>
    <definedName name="shinsei_KAKU_SUMI_NO">DATA!$D$41</definedName>
    <definedName name="shinsei_PROVO_DATE">DATA!$D$32</definedName>
    <definedName name="shinsei_PROVO_NO">DATA!$D$33</definedName>
    <definedName name="shinsei_UKETUKE_NO">DATA!$D$36</definedName>
    <definedName name="shinsei_UNIT_COUNT">DATA!$D$977</definedName>
    <definedName name="showsheetflag_cst_DATA">dSHEET!$B$7</definedName>
    <definedName name="showsheetflag_dAName">dSHEET!$B$9</definedName>
    <definedName name="showsheetflag_DATA">dSHEET!$B$6</definedName>
    <definedName name="showsheetflag_dSHEET">dSHEET!$B$5</definedName>
    <definedName name="showsheetflag_dSTART">dSHEET!$B$4</definedName>
    <definedName name="showsheetflag_NoObject">dSHEET!$B$36</definedName>
    <definedName name="showsheetflag_リスト">dSHEET!$B$30</definedName>
    <definedName name="showsheetflag_委任状">dSHEET!$B$16</definedName>
    <definedName name="showsheetflag_記載事項変更届">dSHEET!$B$21</definedName>
    <definedName name="showsheetflag_計画廃止届">dSHEET!$B$20</definedName>
    <definedName name="showsheetflag_軽微な変更説明書">dSHEET!$B$22</definedName>
    <definedName name="showsheetflag_建築工事届">dSHEET!$B$15</definedName>
    <definedName name="showsheetflag_建築工事届_主要用途">dSHEET!$B$32</definedName>
    <definedName name="showsheetflag_建築主別紙">dSHEET!$B$27</definedName>
    <definedName name="showsheetflag_工事監理計画届">dSHEET!$B$18</definedName>
    <definedName name="showsheetflag_項目リスト">dSHEET!$B$8</definedName>
    <definedName name="showsheetflag_取下げ届_仮使用">dSHEET!$B$26</definedName>
    <definedName name="showsheetflag_取下げ届_確認">dSHEET!$B$23</definedName>
    <definedName name="showsheetflag_取下げ届_完了">dSHEET!$B$25</definedName>
    <definedName name="showsheetflag_取下げ届_中間">dSHEET!$B$24</definedName>
    <definedName name="showsheetflag_浄化槽概要書・通知書_静岡県">dSHEET!$B$19</definedName>
    <definedName name="showsheetflag_説明">dSHEET!$B$12</definedName>
    <definedName name="showsheetflag_第四面">dSHEET!#REF!</definedName>
    <definedName name="showsheetflag_届出者別紙">dSHEET!$B$28</definedName>
    <definedName name="showsheetflag_様式未設定">dSHEET!$B$29</definedName>
    <definedName name="showsheetflag_用途の区分">dSHEET!$B$31</definedName>
    <definedName name="showsheetflag_連絡担当者票">dSHEET!$B$17</definedName>
    <definedName name="wsjob__address">DATA!$D$83</definedName>
    <definedName name="wsjob_BUILD__address">DATA!$D$84</definedName>
    <definedName name="wsjob_BUILD_ADDRESS">DATA!$D$86</definedName>
    <definedName name="wsjob_BUILD_KEN">DATA!$D$85</definedName>
    <definedName name="wsjob_JOB_KIND">DATA!$D$17</definedName>
    <definedName name="wsjob_JOB_SET_KIND">DATA!$D$12</definedName>
    <definedName name="wsjob_TARGET_KIND">DATA!$D$13</definedName>
    <definedName name="wsjob_TARGET_KIND__label">DATA!$D$11</definedName>
    <definedName name="wskakunin__bouka">DATA!$D$930</definedName>
    <definedName name="wskakunin__kouji">DATA!$D$979</definedName>
    <definedName name="wskakunin__kuiki">DATA!$D$921</definedName>
    <definedName name="wskakunin__tosi_kuiki">DATA!$D$924</definedName>
    <definedName name="wskakunin_20kouzou101_KOUZOUSEKKEI_KOUFU_NO">DATA!$D$499</definedName>
    <definedName name="wskakunin_20kouzou101_NAME">DATA!$D$498</definedName>
    <definedName name="wskakunin_20kouzou102_KOUZOUSEKKEI_KOUFU_NO">DATA!$D$501</definedName>
    <definedName name="wskakunin_20kouzou102_NAME">DATA!$D$500</definedName>
    <definedName name="wskakunin_20kouzou103_KOUZOUSEKKEI_KOUFU_NO">DATA!$D$503</definedName>
    <definedName name="wskakunin_20kouzou103_NAME">DATA!$D$502</definedName>
    <definedName name="wskakunin_20kouzou104_KOUZOUSEKKEI_KOUFU_NO">DATA!$D$505</definedName>
    <definedName name="wskakunin_20kouzou104_NAME">DATA!$D$504</definedName>
    <definedName name="wskakunin_20kouzou105_KOUZOUSEKKEI_KOUFU_NO">DATA!$D$507</definedName>
    <definedName name="wskakunin_20kouzou105_NAME">DATA!$D$506</definedName>
    <definedName name="wskakunin_20kouzou301_KOUZOUSEKKEI_KOUFU_NO">DATA!$D$511</definedName>
    <definedName name="wskakunin_20kouzou301_NAME">DATA!$D$510</definedName>
    <definedName name="wskakunin_20kouzou302_KOUZOUSEKKEI_KOUFU_NO">DATA!$D$513</definedName>
    <definedName name="wskakunin_20kouzou302_NAME">DATA!$D$512</definedName>
    <definedName name="wskakunin_20kouzou303_KOUZOUSEKKEI_KOUFU_NO">DATA!$D$515</definedName>
    <definedName name="wskakunin_20kouzou303_NAME">DATA!$D$514</definedName>
    <definedName name="wskakunin_20kouzou304_KOUZOUSEKKEI_KOUFU_NO">DATA!$D$517</definedName>
    <definedName name="wskakunin_20kouzou304_NAME">DATA!$D$516</definedName>
    <definedName name="wskakunin_20kouzou305_KOUZOUSEKKEI_KOUFU_NO">DATA!$D$519</definedName>
    <definedName name="wskakunin_20kouzou305_NAME">DATA!$D$518</definedName>
    <definedName name="wskakunin_20setubi101_NAME">DATA!$D$522</definedName>
    <definedName name="wskakunin_20setubi101_SETUBISEKKEI_KOUFU_NO">DATA!$D$523</definedName>
    <definedName name="wskakunin_20setubi102_NAME">DATA!$D$524</definedName>
    <definedName name="wskakunin_20setubi102_SETUBISEKKEI_KOUFU_NO">DATA!$D$525</definedName>
    <definedName name="wskakunin_20setubi103_NAME">DATA!$D$526</definedName>
    <definedName name="wskakunin_20setubi103_SETUBISEKKEI_KOUFU_NO">DATA!$D$527</definedName>
    <definedName name="wskakunin_20setubi104_NAME">DATA!$D$528</definedName>
    <definedName name="wskakunin_20setubi104_SETUBISEKKEI_KOUFU_NO">DATA!$D$529</definedName>
    <definedName name="wskakunin_20setubi105_NAME">DATA!$D$530</definedName>
    <definedName name="wskakunin_20setubi105_SETUBISEKKEI_KOUFU_NO">DATA!$D$531</definedName>
    <definedName name="wskakunin_20setubi301_NAME">DATA!$D$534</definedName>
    <definedName name="wskakunin_20setubi301_SETUBISEKKEI_KOUFU_NO">DATA!$D$535</definedName>
    <definedName name="wskakunin_20setubi302_NAME">DATA!$D$536</definedName>
    <definedName name="wskakunin_20setubi302_SETUBISEKKEI_KOUFU_NO">DATA!$D$537</definedName>
    <definedName name="wskakunin_20setubi303_NAME">DATA!$D$538</definedName>
    <definedName name="wskakunin_20setubi303_SETUBISEKKEI_KOUFU_NO">DATA!$D$539</definedName>
    <definedName name="wskakunin_20setubi304_NAME">DATA!$D$540</definedName>
    <definedName name="wskakunin_20setubi304_SETUBISEKKEI_KOUFU_NO">DATA!$D$541</definedName>
    <definedName name="wskakunin_20setubi305_NAME">DATA!$D$542</definedName>
    <definedName name="wskakunin_20setubi305_SETUBISEKKEI_KOUFU_NO">DATA!$D$543</definedName>
    <definedName name="wskakunin_APPLICANT_NAME">DATA!$D$68</definedName>
    <definedName name="wskakunin_BOUKA_22JYO">DATA!$D$934</definedName>
    <definedName name="wskakunin_BOUKA_BOUKA">DATA!$D$931</definedName>
    <definedName name="wskakunin_BOUKA_JYUN_BOUKA">DATA!$D$932</definedName>
    <definedName name="wskakunin_BOUKA_NASI">DATA!$D$933</definedName>
    <definedName name="wskakunin_BOUKA_SETUBI_FLAG">DATA!$D$1177</definedName>
    <definedName name="wskakunin_BUILD__address">DATA!$D$910</definedName>
    <definedName name="wskakunin_BUILD_ADDRESS">DATA!$D$912</definedName>
    <definedName name="wskakunin_BUILD_JYUKYO__address">DATA!$D$915</definedName>
    <definedName name="wskakunin_BUILD_JYUKYO_ADDRESS">DATA!$D$917</definedName>
    <definedName name="wskakunin_BUILD_JYUKYO_KEN__ken">DATA!$D$916</definedName>
    <definedName name="wskakunin_BUILD_KEN__ken">DATA!$D$911</definedName>
    <definedName name="wskakunin_BUILD_NAME">DATA!$D$847</definedName>
    <definedName name="wskakunin_BUILD_NAME_KANA">DATA!$D$848</definedName>
    <definedName name="wskakunin_BUILD_SHINSEI_COUNT">DATA!$D$1092</definedName>
    <definedName name="wskakunin_BUILD_SONOTA_COUNT">DATA!$D$1093</definedName>
    <definedName name="wskakunin_dairi1__address">DATA!$D$215</definedName>
    <definedName name="wskakunin_dairi1__sikaku">DATA!$D$203</definedName>
    <definedName name="wskakunin_dairi1_FAX">DATA!$D$217</definedName>
    <definedName name="wskakunin_dairi1_JIMU__sikaku">DATA!$D$209</definedName>
    <definedName name="wskakunin_dairi1_JIMU_NAME">DATA!$D$213</definedName>
    <definedName name="wskakunin_dairi1_JIMU_NO">DATA!$D$212</definedName>
    <definedName name="wskakunin_dairi1_JIMU_SIKAKU__label">DATA!$D$210</definedName>
    <definedName name="wskakunin_dairi1_JIMU_TOUROKU_KIKAN__label">DATA!$D$211</definedName>
    <definedName name="wskakunin_dairi1_KENTIKUSI_NO">DATA!$D$206</definedName>
    <definedName name="wskakunin_dairi1_NAME">DATA!$D$207</definedName>
    <definedName name="wskakunin_dairi1_NAME_KANA">DATA!$D$208</definedName>
    <definedName name="wskakunin_dairi1_SIKAKU__label">DATA!$D$204</definedName>
    <definedName name="wskakunin_dairi1_TEL">DATA!$D$216</definedName>
    <definedName name="wskakunin_dairi1_TOUROKU_KIKAN__label">DATA!$D$205</definedName>
    <definedName name="wskakunin_dairi1_ZIP">DATA!$D$214</definedName>
    <definedName name="wskakunin_dairi2__address">DATA!$D$233</definedName>
    <definedName name="wskakunin_dairi2__sikaku">DATA!$D$221</definedName>
    <definedName name="wskakunin_dairi2_FAX">DATA!$D$235</definedName>
    <definedName name="wskakunin_dairi2_JIMU__sikaku">DATA!$D$227</definedName>
    <definedName name="wskakunin_dairi2_JIMU_NAME">DATA!$D$231</definedName>
    <definedName name="wskakunin_dairi2_JIMU_NO">DATA!$D$230</definedName>
    <definedName name="wskakunin_dairi2_JIMU_SIKAKU__label">DATA!$D$228</definedName>
    <definedName name="wskakunin_dairi2_JIMU_TOUROKU_KIKAN__label">DATA!$D$229</definedName>
    <definedName name="wskakunin_dairi2_KENTIKUSI_NO">DATA!$D$224</definedName>
    <definedName name="wskakunin_dairi2_NAME">DATA!$D$225</definedName>
    <definedName name="wskakunin_dairi2_NAME_KANA">DATA!$D$226</definedName>
    <definedName name="wskakunin_dairi2_SIKAKU__label">DATA!$D$222</definedName>
    <definedName name="wskakunin_dairi2_TEL">DATA!$D$234</definedName>
    <definedName name="wskakunin_dairi2_TOUROKU_KIKAN__label">DATA!$D$223</definedName>
    <definedName name="wskakunin_dairi2_ZIP">DATA!$D$232</definedName>
    <definedName name="wskakunin_dairi3__address">DATA!$D$251</definedName>
    <definedName name="wskakunin_dairi3__sikaku">DATA!$D$239</definedName>
    <definedName name="wskakunin_dairi3_FAX">DATA!$D$253</definedName>
    <definedName name="wskakunin_dairi3_JIMU__sikaku">DATA!$D$245</definedName>
    <definedName name="wskakunin_dairi3_JIMU_NAME">DATA!$D$249</definedName>
    <definedName name="wskakunin_dairi3_JIMU_NO">DATA!$D$248</definedName>
    <definedName name="wskakunin_dairi3_JIMU_SIKAKU__label">DATA!$D$246</definedName>
    <definedName name="wskakunin_dairi3_JIMU_TOUROKU_KIKAN__label">DATA!$D$247</definedName>
    <definedName name="wskakunin_dairi3_KENTIKUSI_NO">DATA!$D$242</definedName>
    <definedName name="wskakunin_dairi3_NAME">DATA!$D$243</definedName>
    <definedName name="wskakunin_dairi3_NAME_KANA">DATA!$D$244</definedName>
    <definedName name="wskakunin_dairi3_SIKAKU__label">DATA!$D$240</definedName>
    <definedName name="wskakunin_dairi3_TEL">DATA!$D$252</definedName>
    <definedName name="wskakunin_dairi3_TOUROKU_KIKAN__label">DATA!$D$241</definedName>
    <definedName name="wskakunin_dairi3_ZIP">DATA!$D$250</definedName>
    <definedName name="wskakunin_dairi4__address">DATA!$D$269</definedName>
    <definedName name="wskakunin_dairi4__sikaku">DATA!$D$257</definedName>
    <definedName name="wskakunin_dairi4_FAX">DATA!$D$271</definedName>
    <definedName name="wskakunin_dairi4_JIMU__sikaku">DATA!$D$263</definedName>
    <definedName name="wskakunin_dairi4_JIMU_NAME">DATA!$D$267</definedName>
    <definedName name="wskakunin_dairi4_JIMU_NO">DATA!$D$266</definedName>
    <definedName name="wskakunin_dairi4_JIMU_SIKAKU__label">DATA!$D$264</definedName>
    <definedName name="wskakunin_dairi4_JIMU_TOUROKU_KIKAN__label">DATA!$D$265</definedName>
    <definedName name="wskakunin_dairi4_KENTIKUSI_NO">DATA!$D$260</definedName>
    <definedName name="wskakunin_dairi4_NAME">DATA!$D$261</definedName>
    <definedName name="wskakunin_dairi4_NAME_KANA">DATA!$D$262</definedName>
    <definedName name="wskakunin_dairi4_SIKAKU__label">DATA!$D$258</definedName>
    <definedName name="wskakunin_dairi4_TEL">DATA!$D$270</definedName>
    <definedName name="wskakunin_dairi4_TOUROKU_KIKAN__label">DATA!$D$259</definedName>
    <definedName name="wskakunin_dairi4_ZIP">DATA!$D$268</definedName>
    <definedName name="wskakunin_dairi5__address">DATA!$D$287</definedName>
    <definedName name="wskakunin_dairi5__sikaku">DATA!$D$275</definedName>
    <definedName name="wskakunin_dairi5_FAX">DATA!$D$289</definedName>
    <definedName name="wskakunin_dairi5_JIMU__sikaku">DATA!$D$281</definedName>
    <definedName name="wskakunin_dairi5_JIMU_NAME">DATA!$D$285</definedName>
    <definedName name="wskakunin_dairi5_JIMU_NO">DATA!$D$284</definedName>
    <definedName name="wskakunin_dairi5_JIMU_SIKAKU__label">DATA!$D$282</definedName>
    <definedName name="wskakunin_dairi5_JIMU_TOUROKU_KIKAN__label">DATA!$D$283</definedName>
    <definedName name="wskakunin_dairi5_KENTIKUSI_NO">DATA!$D$278</definedName>
    <definedName name="wskakunin_dairi5_NAME">DATA!$D$279</definedName>
    <definedName name="wskakunin_dairi5_NAME_KANA">DATA!$D$280</definedName>
    <definedName name="wskakunin_dairi5_SIKAKU__label">DATA!$D$276</definedName>
    <definedName name="wskakunin_dairi5_TEL">DATA!$D$288</definedName>
    <definedName name="wskakunin_dairi5_TOUROKU_KIKAN__label">DATA!$D$277</definedName>
    <definedName name="wskakunin_dairi5_ZIP">DATA!$D$286</definedName>
    <definedName name="wskakunin_DOURO_FUKUIN">DATA!$D$939</definedName>
    <definedName name="wskakunin_DOURO_NAGASA">DATA!$D$940</definedName>
    <definedName name="wskakunin_ecotekihan01_FUYOU_CAUSE">DATA!$D$877</definedName>
    <definedName name="wskakunin_ecotekihan01_TEKIHAN_KIKAN_ADDRESS">DATA!$D$873</definedName>
    <definedName name="wskakunin_ecotekihan01_TEKIHAN_KIKAN_KEN__ken">DATA!$D$872</definedName>
    <definedName name="wskakunin_ecotekihan01_TEKIHAN_KIKAN_NAME">DATA!$D$871</definedName>
    <definedName name="wskakunin_ecotekihan01_TEKIHAN_STATE">DATA!$D$867</definedName>
    <definedName name="wskakunin_gaiyou1_EV_KIND">DATA!$D$1009</definedName>
    <definedName name="wskakunin_gaiyou1_KOUJI_KAITIKU">DATA!$D$996</definedName>
    <definedName name="wskakunin_gaiyou1_KOUJI_SINTIKU">DATA!$D$994</definedName>
    <definedName name="wskakunin_gaiyou1_KOUJI_SONOTA">DATA!$D$997</definedName>
    <definedName name="wskakunin_gaiyou1_KOUJI_SONOTA_TEXT">DATA!$D$998</definedName>
    <definedName name="wskakunin_gaiyou1_KOUJI_ZOUTIKU">DATA!$D$995</definedName>
    <definedName name="wskakunin_gaiyou1_KOUZOU">DATA!$D$993</definedName>
    <definedName name="wskakunin_gaiyou1_NINSYOU_NO">DATA!$D$1015</definedName>
    <definedName name="wskakunin_gaiyou1_NO">DATA!$D$1008</definedName>
    <definedName name="wskakunin_gaiyou1_SEKISAI">DATA!$D$1011</definedName>
    <definedName name="wskakunin_gaiyou1_SONOTA">DATA!$D$1014</definedName>
    <definedName name="wskakunin_gaiyou1_SONOTA_and_NINSYOU_NO">DATA!$D$1016</definedName>
    <definedName name="wskakunin_gaiyou1_SPEED">DATA!$D$1013</definedName>
    <definedName name="wskakunin_gaiyou1_TAKASA">DATA!$D$992</definedName>
    <definedName name="wskakunin_gaiyou1_TEIIN">DATA!$D$1012</definedName>
    <definedName name="wskakunin_gaiyou1_TIKUZOU_MENSEKI_IGAI">DATA!$D$1001</definedName>
    <definedName name="wskakunin_gaiyou1_TIKUZOU_MENSEKI_SHINSEI">DATA!$D$1000</definedName>
    <definedName name="wskakunin_gaiyou1_TIKUZOU_MENSEKI_TOTAL">DATA!$D$1002</definedName>
    <definedName name="wskakunin_gaiyou1_WORK_COUNT_IGAI">DATA!$D$1004</definedName>
    <definedName name="wskakunin_gaiyou1_WORK_COUNT_SHINSEI">DATA!$D$1003</definedName>
    <definedName name="wskakunin_gaiyou1_WORK_COUNT_TOTAL">DATA!$D$1005</definedName>
    <definedName name="wskakunin_gaiyou1_WORK_SYURUI">DATA!$D$991</definedName>
    <definedName name="wskakunin_gaiyou1_WORK_SYURUI_CODE">DATA!$D$990</definedName>
    <definedName name="wskakunin_gaiyou1_YOUTO">DATA!$D$1010</definedName>
    <definedName name="wskakunin_iken1__address">DATA!$D$550</definedName>
    <definedName name="wskakunin_iken1_DOC">DATA!$D$553</definedName>
    <definedName name="wskakunin_iken1_IKEN_NO">DATA!$D$552</definedName>
    <definedName name="wskakunin_iken1_JIMU_NAME">DATA!$D$548</definedName>
    <definedName name="wskakunin_iken1_NAME">DATA!$D$547</definedName>
    <definedName name="wskakunin_iken1_TEL">DATA!$D$551</definedName>
    <definedName name="wskakunin_iken1_ZIP">DATA!$D$549</definedName>
    <definedName name="wskakunin_iken2__address">DATA!$D$559</definedName>
    <definedName name="wskakunin_iken2_DOC">DATA!$D$562</definedName>
    <definedName name="wskakunin_iken2_IKEN_NO">DATA!$D$561</definedName>
    <definedName name="wskakunin_iken2_JIMU_NAME">DATA!$D$557</definedName>
    <definedName name="wskakunin_iken2_NAME">DATA!$D$556</definedName>
    <definedName name="wskakunin_iken2_TEL">DATA!$D$560</definedName>
    <definedName name="wskakunin_iken2_ZIP">DATA!$D$558</definedName>
    <definedName name="wskakunin_iken3__address">DATA!$D$568</definedName>
    <definedName name="wskakunin_iken3_DOC">DATA!$D$571</definedName>
    <definedName name="wskakunin_iken3_IKEN_NO">DATA!$D$570</definedName>
    <definedName name="wskakunin_iken3_JIMU_NAME">DATA!$D$566</definedName>
    <definedName name="wskakunin_iken3_NAME">DATA!$D$565</definedName>
    <definedName name="wskakunin_iken3_TEL">DATA!$D$569</definedName>
    <definedName name="wskakunin_iken3_ZIP">DATA!$D$567</definedName>
    <definedName name="wskakunin_iken4__address">DATA!$D$577</definedName>
    <definedName name="wskakunin_iken4_DOC">DATA!$D$580</definedName>
    <definedName name="wskakunin_iken4_IKEN_NO">DATA!$D$579</definedName>
    <definedName name="wskakunin_iken4_JIMU_NAME">DATA!$D$575</definedName>
    <definedName name="wskakunin_iken4_NAME">DATA!$D$574</definedName>
    <definedName name="wskakunin_iken4_TEL">DATA!$D$578</definedName>
    <definedName name="wskakunin_iken4_ZIP">DATA!$D$576</definedName>
    <definedName name="wskakunin_iken5__address">DATA!$D$585</definedName>
    <definedName name="wskakunin_iken5_DOC">DATA!$D$588</definedName>
    <definedName name="wskakunin_iken5_IKEN_NO">DATA!$D$587</definedName>
    <definedName name="wskakunin_iken5_JIMU_NAME">DATA!$D$583</definedName>
    <definedName name="wskakunin_iken5_NAME">DATA!$D$582</definedName>
    <definedName name="wskakunin_iken5_TEL">DATA!$D$586</definedName>
    <definedName name="wskakunin_iken5_ZIP">DATA!$D$584</definedName>
    <definedName name="wskakunin_KAISU_TIJYOU_SHINSEI">DATA!$D$1100</definedName>
    <definedName name="wskakunin_KAISU_TIJYOU_SONOTA">DATA!$D$1101</definedName>
    <definedName name="wskakunin_KAISU_TIKA_SHINSEI__zero">DATA!$D$1103</definedName>
    <definedName name="wskakunin_KAISU_TIKA_SONOTA">DATA!$D$1104</definedName>
    <definedName name="wskakunin_kanri1__address">DATA!$D$603</definedName>
    <definedName name="wskakunin_kanri1__sikaku">DATA!$D$591</definedName>
    <definedName name="wskakunin_kanri1_DOC">DATA!$D$605</definedName>
    <definedName name="wskakunin_kanri1_JIMU__sikaku">DATA!$D$596</definedName>
    <definedName name="wskakunin_kanri1_JIMU_NAME">DATA!$D$600</definedName>
    <definedName name="wskakunin_kanri1_JIMU_NO">DATA!$D$599</definedName>
    <definedName name="wskakunin_kanri1_JIMU_SIKAKU__label">DATA!$D$597</definedName>
    <definedName name="wskakunin_kanri1_JIMU_TOUROKU_KIKAN__label">DATA!$D$598</definedName>
    <definedName name="wskakunin_kanri1_KENTIKUSI_NO">DATA!$D$594</definedName>
    <definedName name="wskakunin_kanri1_NAME">DATA!$D$595</definedName>
    <definedName name="wskakunin_kanri1_SIKAKU__label">DATA!$D$592</definedName>
    <definedName name="wskakunin_kanri1_TEL">DATA!$D$604</definedName>
    <definedName name="wskakunin_kanri1_TOUROKU_KIKAN__label">DATA!$D$593</definedName>
    <definedName name="wskakunin_kanri1_ZIP">DATA!$D$601</definedName>
    <definedName name="wskakunin_kanri10__address">DATA!$D$747</definedName>
    <definedName name="wskakunin_kanri10__sikaku">DATA!$D$736</definedName>
    <definedName name="wskakunin_kanri10_DOC">DATA!$D$749</definedName>
    <definedName name="wskakunin_kanri10_JIMU__sikaku">DATA!$D$741</definedName>
    <definedName name="wskakunin_kanri10_JIMU_NAME">DATA!$D$745</definedName>
    <definedName name="wskakunin_kanri10_JIMU_NO">DATA!$D$744</definedName>
    <definedName name="wskakunin_kanri10_JIMU_SIKAKU__label">DATA!$D$742</definedName>
    <definedName name="wskakunin_kanri10_JIMU_TOUROKU_KIKAN__label">DATA!$D$743</definedName>
    <definedName name="wskakunin_kanri10_KENTIKUSI_NO">DATA!$D$739</definedName>
    <definedName name="wskakunin_kanri10_NAME">DATA!$D$740</definedName>
    <definedName name="wskakunin_kanri10_SIKAKU__label">DATA!$D$737</definedName>
    <definedName name="wskakunin_kanri10_TEL">DATA!$D$748</definedName>
    <definedName name="wskakunin_kanri10_TOUROKU_KIKAN__label">DATA!$D$738</definedName>
    <definedName name="wskakunin_kanri10_ZIP">DATA!$D$746</definedName>
    <definedName name="wskakunin_kanri11__address">DATA!$D$763</definedName>
    <definedName name="wskakunin_kanri11__sikaku">DATA!$D$752</definedName>
    <definedName name="wskakunin_kanri11_DOC">DATA!$D$765</definedName>
    <definedName name="wskakunin_kanri11_JIMU__sikaku">DATA!$D$757</definedName>
    <definedName name="wskakunin_kanri11_JIMU_NAME">DATA!$D$761</definedName>
    <definedName name="wskakunin_kanri11_JIMU_NO">DATA!$D$760</definedName>
    <definedName name="wskakunin_kanri11_JIMU_SIKAKU__label">DATA!$D$758</definedName>
    <definedName name="wskakunin_kanri11_JIMU_TOUROKU_KIKAN__label">DATA!$D$759</definedName>
    <definedName name="wskakunin_kanri11_KENTIKUSI_NO">DATA!$D$755</definedName>
    <definedName name="wskakunin_kanri11_NAME">DATA!$D$756</definedName>
    <definedName name="wskakunin_kanri11_SIKAKU__label">DATA!$D$753</definedName>
    <definedName name="wskakunin_kanri11_TEL">DATA!$D$764</definedName>
    <definedName name="wskakunin_kanri11_TOUROKU_KIKAN__label">DATA!$D$754</definedName>
    <definedName name="wskakunin_kanri11_ZIP">DATA!$D$762</definedName>
    <definedName name="wskakunin_kanri12__address">DATA!$D$779</definedName>
    <definedName name="wskakunin_kanri12__sikaku">DATA!$D$768</definedName>
    <definedName name="wskakunin_kanri12_DOC">DATA!$D$781</definedName>
    <definedName name="wskakunin_kanri12_JIMU__sikaku">DATA!$D$773</definedName>
    <definedName name="wskakunin_kanri12_JIMU_NAME">DATA!$D$777</definedName>
    <definedName name="wskakunin_kanri12_JIMU_NO">DATA!$D$776</definedName>
    <definedName name="wskakunin_kanri12_JIMU_SIKAKU__label">DATA!$D$774</definedName>
    <definedName name="wskakunin_kanri12_JIMU_TOUROKU_KIKAN__label">DATA!$D$775</definedName>
    <definedName name="wskakunin_kanri12_KENTIKUSI_NO">DATA!$D$771</definedName>
    <definedName name="wskakunin_kanri12_NAME">DATA!$D$772</definedName>
    <definedName name="wskakunin_kanri12_SIKAKU__label">DATA!$D$769</definedName>
    <definedName name="wskakunin_kanri12_TEL">DATA!$D$780</definedName>
    <definedName name="wskakunin_kanri12_TOUROKU_KIKAN__label">DATA!$D$770</definedName>
    <definedName name="wskakunin_kanri12_ZIP">DATA!$D$778</definedName>
    <definedName name="wskakunin_kanri2__address">DATA!$D$619</definedName>
    <definedName name="wskakunin_kanri2__sikaku">DATA!$D$608</definedName>
    <definedName name="wskakunin_kanri2_DOC">DATA!$D$621</definedName>
    <definedName name="wskakunin_kanri2_JIMU__sikaku">DATA!$D$613</definedName>
    <definedName name="wskakunin_kanri2_JIMU_NAME">DATA!$D$617</definedName>
    <definedName name="wskakunin_kanri2_JIMU_NO">DATA!$D$616</definedName>
    <definedName name="wskakunin_kanri2_JIMU_SIKAKU__label">DATA!$D$614</definedName>
    <definedName name="wskakunin_kanri2_JIMU_TOUROKU_KIKAN__label">DATA!$D$615</definedName>
    <definedName name="wskakunin_kanri2_KENTIKUSI_NO">DATA!$D$611</definedName>
    <definedName name="wskakunin_kanri2_NAME">DATA!$D$612</definedName>
    <definedName name="wskakunin_kanri2_SIKAKU__label">DATA!$D$609</definedName>
    <definedName name="wskakunin_kanri2_TEL">DATA!$D$620</definedName>
    <definedName name="wskakunin_kanri2_TOUROKU_KIKAN__label">DATA!$D$610</definedName>
    <definedName name="wskakunin_kanri2_ZIP">DATA!$D$618</definedName>
    <definedName name="wskakunin_kanri3__address">DATA!$D$635</definedName>
    <definedName name="wskakunin_kanri3__sikaku">DATA!$D$624</definedName>
    <definedName name="wskakunin_kanri3_DOC">DATA!$D$637</definedName>
    <definedName name="wskakunin_kanri3_JIMU__sikaku">DATA!$D$629</definedName>
    <definedName name="wskakunin_kanri3_JIMU_NAME">DATA!$D$633</definedName>
    <definedName name="wskakunin_kanri3_JIMU_NO">DATA!$D$632</definedName>
    <definedName name="wskakunin_kanri3_JIMU_SIKAKU__label">DATA!$D$630</definedName>
    <definedName name="wskakunin_kanri3_JIMU_TOUROKU_KIKAN__label">DATA!$D$631</definedName>
    <definedName name="wskakunin_kanri3_KENTIKUSI_NO">DATA!$D$627</definedName>
    <definedName name="wskakunin_kanri3_NAME">DATA!$D$628</definedName>
    <definedName name="wskakunin_kanri3_SIKAKU__label">DATA!$D$625</definedName>
    <definedName name="wskakunin_kanri3_TEL">DATA!$D$636</definedName>
    <definedName name="wskakunin_kanri3_TOUROKU_KIKAN__label">DATA!$D$626</definedName>
    <definedName name="wskakunin_kanri3_ZIP">DATA!$D$634</definedName>
    <definedName name="wskakunin_kanri4__address">DATA!$D$651</definedName>
    <definedName name="wskakunin_kanri4__sikaku">DATA!$D$640</definedName>
    <definedName name="wskakunin_kanri4_DOC">DATA!$D$653</definedName>
    <definedName name="wskakunin_kanri4_JIMU__sikaku">DATA!$D$645</definedName>
    <definedName name="wskakunin_kanri4_JIMU_NAME">DATA!$D$649</definedName>
    <definedName name="wskakunin_kanri4_JIMU_NO">DATA!$D$648</definedName>
    <definedName name="wskakunin_kanri4_JIMU_SIKAKU__label">DATA!$D$646</definedName>
    <definedName name="wskakunin_kanri4_JIMU_TOUROKU_KIKAN__label">DATA!$D$647</definedName>
    <definedName name="wskakunin_kanri4_KENTIKUSI_NO">DATA!$D$643</definedName>
    <definedName name="wskakunin_kanri4_NAME">DATA!$D$644</definedName>
    <definedName name="wskakunin_kanri4_SIKAKU__label">DATA!$D$641</definedName>
    <definedName name="wskakunin_kanri4_TEL">DATA!$D$652</definedName>
    <definedName name="wskakunin_kanri4_TOUROKU_KIKAN__label">DATA!$D$642</definedName>
    <definedName name="wskakunin_kanri4_ZIP">DATA!$D$650</definedName>
    <definedName name="wskakunin_kanri5__address">DATA!$D$667</definedName>
    <definedName name="wskakunin_kanri5__sikaku">DATA!$D$656</definedName>
    <definedName name="wskakunin_kanri5_DOC">DATA!$D$669</definedName>
    <definedName name="wskakunin_kanri5_JIMU__sikaku">DATA!$D$661</definedName>
    <definedName name="wskakunin_kanri5_JIMU_NAME">DATA!$D$665</definedName>
    <definedName name="wskakunin_kanri5_JIMU_NO">DATA!$D$664</definedName>
    <definedName name="wskakunin_kanri5_JIMU_SIKAKU__label">DATA!$D$662</definedName>
    <definedName name="wskakunin_kanri5_JIMU_TOUROKU_KIKAN__label">DATA!$D$663</definedName>
    <definedName name="wskakunin_kanri5_KENTIKUSI_NO">DATA!$D$659</definedName>
    <definedName name="wskakunin_kanri5_NAME">DATA!$D$660</definedName>
    <definedName name="wskakunin_kanri5_SIKAKU__label">DATA!$D$657</definedName>
    <definedName name="wskakunin_kanri5_TEL">DATA!$D$668</definedName>
    <definedName name="wskakunin_kanri5_TOUROKU_KIKAN__label">DATA!$D$658</definedName>
    <definedName name="wskakunin_kanri5_ZIP">DATA!$D$666</definedName>
    <definedName name="wskakunin_kanri6__address">DATA!$D$683</definedName>
    <definedName name="wskakunin_kanri6__sikaku">DATA!$D$672</definedName>
    <definedName name="wskakunin_kanri6_DOC">DATA!$D$685</definedName>
    <definedName name="wskakunin_kanri6_JIMU__sikaku">DATA!$D$677</definedName>
    <definedName name="wskakunin_kanri6_JIMU_NAME">DATA!$D$681</definedName>
    <definedName name="wskakunin_kanri6_JIMU_NO">DATA!$D$680</definedName>
    <definedName name="wskakunin_kanri6_JIMU_SIKAKU__label">DATA!$D$678</definedName>
    <definedName name="wskakunin_kanri6_JIMU_TOUROKU_KIKAN__label">DATA!$D$679</definedName>
    <definedName name="wskakunin_kanri6_KENTIKUSI_NO">DATA!$D$675</definedName>
    <definedName name="wskakunin_kanri6_NAME">DATA!$D$676</definedName>
    <definedName name="wskakunin_kanri6_SIKAKU__label">DATA!$D$673</definedName>
    <definedName name="wskakunin_kanri6_TEL">DATA!$D$684</definedName>
    <definedName name="wskakunin_kanri6_TOUROKU_KIKAN__label">DATA!$D$674</definedName>
    <definedName name="wskakunin_kanri6_ZIP">DATA!$D$682</definedName>
    <definedName name="wskakunin_kanri7__address">DATA!$D$699</definedName>
    <definedName name="wskakunin_kanri7__sikaku">DATA!$D$688</definedName>
    <definedName name="wskakunin_kanri7_DOC">DATA!$D$701</definedName>
    <definedName name="wskakunin_kanri7_JIMU__sikaku">DATA!$D$693</definedName>
    <definedName name="wskakunin_kanri7_JIMU_NAME">DATA!$D$697</definedName>
    <definedName name="wskakunin_kanri7_JIMU_NO">DATA!$D$696</definedName>
    <definedName name="wskakunin_kanri7_JIMU_SIKAKU__label">DATA!$D$694</definedName>
    <definedName name="wskakunin_kanri7_JIMU_TOUROKU_KIKAN__label">DATA!$D$695</definedName>
    <definedName name="wskakunin_kanri7_KENTIKUSI_NO">DATA!$D$691</definedName>
    <definedName name="wskakunin_kanri7_NAME">DATA!$D$692</definedName>
    <definedName name="wskakunin_kanri7_SIKAKU__label">DATA!$D$689</definedName>
    <definedName name="wskakunin_kanri7_TEL">DATA!$D$700</definedName>
    <definedName name="wskakunin_kanri7_TOUROKU_KIKAN__label">DATA!$D$690</definedName>
    <definedName name="wskakunin_kanri7_ZIP">DATA!$D$698</definedName>
    <definedName name="wskakunin_kanri8__address">DATA!$D$715</definedName>
    <definedName name="wskakunin_kanri8__sikaku">DATA!$D$704</definedName>
    <definedName name="wskakunin_kanri8_DOC">DATA!$D$717</definedName>
    <definedName name="wskakunin_kanri8_JIMU__sikaku">DATA!$D$709</definedName>
    <definedName name="wskakunin_kanri8_JIMU_NAME">DATA!$D$713</definedName>
    <definedName name="wskakunin_kanri8_JIMU_NO">DATA!$D$712</definedName>
    <definedName name="wskakunin_kanri8_JIMU_SIKAKU__label">DATA!$D$710</definedName>
    <definedName name="wskakunin_kanri8_JIMU_TOUROKU_KIKAN__label">DATA!$D$711</definedName>
    <definedName name="wskakunin_kanri8_KENTIKUSI_NO">DATA!$D$707</definedName>
    <definedName name="wskakunin_kanri8_NAME">DATA!$D$708</definedName>
    <definedName name="wskakunin_kanri8_SIKAKU__label">DATA!$D$705</definedName>
    <definedName name="wskakunin_kanri8_TEL">DATA!$D$716</definedName>
    <definedName name="wskakunin_kanri8_TOUROKU_KIKAN__label">DATA!$D$706</definedName>
    <definedName name="wskakunin_kanri8_ZIP">DATA!$D$714</definedName>
    <definedName name="wskakunin_kanri9__address">DATA!$D$731</definedName>
    <definedName name="wskakunin_kanri9__sikaku">DATA!$D$720</definedName>
    <definedName name="wskakunin_kanri9_DOC">DATA!$D$733</definedName>
    <definedName name="wskakunin_kanri9_JIMU__sikaku">DATA!$D$725</definedName>
    <definedName name="wskakunin_kanri9_JIMU_NAME">DATA!$D$729</definedName>
    <definedName name="wskakunin_kanri9_JIMU_NO">DATA!$D$728</definedName>
    <definedName name="wskakunin_kanri9_JIMU_SIKAKU__label">DATA!$D$726</definedName>
    <definedName name="wskakunin_kanri9_JIMU_TOUROKU_KIKAN__label">DATA!$D$727</definedName>
    <definedName name="wskakunin_kanri9_KENTIKUSI_NO">DATA!$D$723</definedName>
    <definedName name="wskakunin_kanri9_NAME">DATA!$D$724</definedName>
    <definedName name="wskakunin_kanri9_SIKAKU__label">DATA!$D$721</definedName>
    <definedName name="wskakunin_kanri9_TEL">DATA!$D$732</definedName>
    <definedName name="wskakunin_kanri9_TOUROKU_KIKAN__label">DATA!$D$722</definedName>
    <definedName name="wskakunin_kanri9_ZIP">DATA!$D$730</definedName>
    <definedName name="wskakunin_keibi_henkou01_HENKOU_GAIYOU">DATA!$D$1300</definedName>
    <definedName name="wskakunin_keibi_henkou01_HENKOU_SYURUI">DATA!$D$1299</definedName>
    <definedName name="wskakunin_KENPEI_RITU">DATA!$D$1022</definedName>
    <definedName name="wskakunin_KENPEI_RITU_A">DATA!$D$963</definedName>
    <definedName name="wskakunin_KENPEI_RITU_B">DATA!$D$964</definedName>
    <definedName name="wskakunin_KENPEI_RITU_C">DATA!$D$965</definedName>
    <definedName name="wskakunin_KENPEI_RITU_D">DATA!$D$966</definedName>
    <definedName name="wskakunin_KENSA_YUKA_MENSEKI">DATA!$D$1208</definedName>
    <definedName name="wskakunin_KENTIKU_MENSEKI_IGAI">DATA!$D$1020</definedName>
    <definedName name="wskakunin_KENTIKU_MENSEKI_SHINSEI">DATA!$D$1019</definedName>
    <definedName name="wskakunin_KENTIKU_MENSEKI_TOTAL">DATA!$D$1021</definedName>
    <definedName name="wskakunin_KENTIKU_NINSYO_NO">DATA!$D$1196</definedName>
    <definedName name="wskakunin_KIKAN_NAME">DATA!$D$51</definedName>
    <definedName name="wskakunin_KOUJI_DAI_MOYOUGAE">DATA!$D$986</definedName>
    <definedName name="wskakunin_KOUJI_DAI_SYUUZEN">DATA!$D$985</definedName>
    <definedName name="wskakunin_KOUJI_ITEN">DATA!$D$983</definedName>
    <definedName name="wskakunin_KOUJI_KAITIKU">DATA!$D$982</definedName>
    <definedName name="wskakunin_KOUJI_KANRYOU_DATE">DATA!$D$1303</definedName>
    <definedName name="wskakunin_KOUJI_KANRYOU_YOTEI_DATE">DATA!$D$1150</definedName>
    <definedName name="wskakunin_KOUJI_SINTIKU">DATA!$D$980</definedName>
    <definedName name="wskakunin_KOUJI_TYAKUSYU_DATE">DATA!$D$1198</definedName>
    <definedName name="wskakunin_KOUJI_TYAKUSYU_YOTEI_DATE">DATA!$D$1148</definedName>
    <definedName name="wskakunin_KOUJI_YOUTOHENKOU">DATA!$D$984</definedName>
    <definedName name="wskakunin_KOUJI_ZOUTIKU">DATA!$D$981</definedName>
    <definedName name="wskakunin_koutei_ikou01_KOUTEI_DATE">DATA!$D$1271</definedName>
    <definedName name="wskakunin_koutei_ikou01_KOUTEI_KAISUU">DATA!$D$1269</definedName>
    <definedName name="wskakunin_koutei_ikou01_KOUTEI_TEXT">DATA!$D$1270</definedName>
    <definedName name="wskakunin_koutei_ikou02_KOUTEI_DATE">DATA!$D$1276</definedName>
    <definedName name="wskakunin_koutei_ikou02_KOUTEI_KAISUU">DATA!$D$1274</definedName>
    <definedName name="wskakunin_koutei_ikou02_KOUTEI_TEXT">DATA!$D$1275</definedName>
    <definedName name="wskakunin_koutei_izen01_INTER_ISSUE_DATE">DATA!$D$1216</definedName>
    <definedName name="wskakunin_koutei_izen01_INTER_ISSUE_NAME">DATA!$D$1214</definedName>
    <definedName name="wskakunin_koutei_izen01_INTER_ISSUE_NO">DATA!$D$1215</definedName>
    <definedName name="wskakunin_koutei_izen01_KOUTEI_KAISUU">DATA!$D$1212</definedName>
    <definedName name="wskakunin_koutei_izen01_KOUTEI_TEXT">DATA!$D$1213</definedName>
    <definedName name="wskakunin_koutei_izen02_INTER_ISSUE_DATE">DATA!$D$1223</definedName>
    <definedName name="wskakunin_koutei_izen02_INTER_ISSUE_NAME">DATA!$D$1221</definedName>
    <definedName name="wskakunin_koutei_izen02_INTER_ISSUE_NO">DATA!$D$1222</definedName>
    <definedName name="wskakunin_koutei_izen02_KOUTEI_KAISUU">DATA!$D$1219</definedName>
    <definedName name="wskakunin_koutei_izen02_KOUTEI_TEXT">DATA!$D$1220</definedName>
    <definedName name="wskakunin_koutei_izen03_INTER_ISSUE_DATE">DATA!$D$1230</definedName>
    <definedName name="wskakunin_koutei_izen03_INTER_ISSUE_NAME">DATA!$D$1228</definedName>
    <definedName name="wskakunin_koutei_izen03_INTER_ISSUE_NO">DATA!$D$1229</definedName>
    <definedName name="wskakunin_koutei_izen03_KOUTEI_KAISUU">DATA!$D$1226</definedName>
    <definedName name="wskakunin_koutei_izen03_KOUTEI_TEXT">DATA!$D$1227</definedName>
    <definedName name="wskakunin_koutei_izen04_INTER_ISSUE_DATE">DATA!$D$1237</definedName>
    <definedName name="wskakunin_koutei_izen04_INTER_ISSUE_NAME">DATA!$D$1235</definedName>
    <definedName name="wskakunin_koutei_izen04_INTER_ISSUE_NO">DATA!$D$1236</definedName>
    <definedName name="wskakunin_koutei_izen04_KOUTEI_KAISUU">DATA!$D$1233</definedName>
    <definedName name="wskakunin_koutei_izen04_KOUTEI_TEXT">DATA!$D$1234</definedName>
    <definedName name="wskakunin_koutei01_INTER_ISSUE_DATE">DATA!$D$1310</definedName>
    <definedName name="wskakunin_koutei01_INTER_ISSUE_NAME">DATA!$D$1308</definedName>
    <definedName name="wskakunin_koutei01_INTER_ISSUE_NO">DATA!$D$1309</definedName>
    <definedName name="wskakunin_koutei01_KOUTEI_DATE">DATA!$D$1159</definedName>
    <definedName name="wskakunin_koutei01_KOUTEI_KAISUU">DATA!$D$1158</definedName>
    <definedName name="wskakunin_koutei01_KOUTEI_TEXT">DATA!$D$1160</definedName>
    <definedName name="wskakunin_koutei02_INTER_ISSUE_DATE">DATA!$D$1324</definedName>
    <definedName name="wskakunin_koutei02_INTER_ISSUE_NAME">DATA!$D$1322</definedName>
    <definedName name="wskakunin_koutei02_INTER_ISSUE_NO">DATA!$D$1323</definedName>
    <definedName name="wskakunin_koutei02_KOUTEI_DATE">DATA!$D$1164</definedName>
    <definedName name="wskakunin_koutei02_KOUTEI_KAISUU">DATA!$D$1163</definedName>
    <definedName name="wskakunin_koutei02_KOUTEI_TEXT">DATA!$D$1165</definedName>
    <definedName name="wskakunin_koutei03_KOUTEI_DATE">DATA!$D$1169</definedName>
    <definedName name="wskakunin_koutei03_KOUTEI_KAISUU">DATA!$D$1168</definedName>
    <definedName name="wskakunin_koutei03_KOUTEI_TEXT">DATA!$D$1170</definedName>
    <definedName name="wskakunin_koutei04_KOUTEI_DATE">DATA!$D$1174</definedName>
    <definedName name="wskakunin_koutei04_KOUTEI_KAISUU">DATA!$D$1173</definedName>
    <definedName name="wskakunin_koutei04_KOUTEI_TEXT">DATA!$D$1175</definedName>
    <definedName name="wskakunin_KOUZOU1">DATA!$D$1106</definedName>
    <definedName name="wskakunin_KOUZOU2">DATA!$D$1107</definedName>
    <definedName name="wskakunin_KUIKI_HISETTEI">DATA!$D$926</definedName>
    <definedName name="wskakunin_KUIKI_JYUN_TOSHI">DATA!$D$927</definedName>
    <definedName name="wskakunin_KUIKI_KUIKIGAI">DATA!$D$928</definedName>
    <definedName name="wskakunin_KUIKI_SIGAIKA">DATA!$D$923</definedName>
    <definedName name="wskakunin_KUIKI_TOSI">DATA!$D$920</definedName>
    <definedName name="wskakunin_KUIKI_TYOSEI">DATA!$D$925</definedName>
    <definedName name="wskakunin_kyoka01_">DATA!$D$1122</definedName>
    <definedName name="wskakunin_kyoka01_BIKOU">DATA!$D$1127</definedName>
    <definedName name="wskakunin_kyoka01_HOUREI">DATA!$D$1123</definedName>
    <definedName name="wskakunin_kyoka01_JOUKOU">DATA!$D$1124</definedName>
    <definedName name="wskakunin_kyoka01_KYOKA_DATE">DATA!$D$1126</definedName>
    <definedName name="wskakunin_kyoka01_KYOKA_NO">DATA!$D$1125</definedName>
    <definedName name="wskakunin_kyoka02_BIKOU">DATA!$D$1135</definedName>
    <definedName name="wskakunin_kyoka02_HOUREI">DATA!$D$1131</definedName>
    <definedName name="wskakunin_kyoka02_JOUKOU">DATA!$D$1132</definedName>
    <definedName name="wskakunin_kyoka02_KYOKA_DATE">DATA!$D$1134</definedName>
    <definedName name="wskakunin_kyoka02_KYOKA_NO">DATA!$D$1133</definedName>
    <definedName name="wskakunin_kyoka03_BIKOU">DATA!$D$1143</definedName>
    <definedName name="wskakunin_kyoka03_HOUREI">DATA!$D$1139</definedName>
    <definedName name="wskakunin_kyoka03_JOUKOU">DATA!$D$1140</definedName>
    <definedName name="wskakunin_kyoka03_KYOKA_DATE">DATA!$D$1142</definedName>
    <definedName name="wskakunin_kyoka03_KYOKA_NO">DATA!$D$1141</definedName>
    <definedName name="wskakunin_LAST_ISSUE_DATE">DATA!$D$56</definedName>
    <definedName name="wskakunin_LAST_ISSUE_NAME">DATA!$D$57</definedName>
    <definedName name="wskakunin_LAST_ISSUE_NO">DATA!$D$55</definedName>
    <definedName name="wskakunin_LIMIT_KENPEI_RITU">DATA!$D$972</definedName>
    <definedName name="wskakunin_LIMIT_YOUSEKI_RITU">DATA!$D$971</definedName>
    <definedName name="wskakunin_NOBE_MENSEKI">DATA!$D$1086</definedName>
    <definedName name="wskakunin_NOBE_MENSEKI_BITIKUSOUKO_IGAI">DATA!$D$1052</definedName>
    <definedName name="wskakunin_NOBE_MENSEKI_BITIKUSOUKO_SHINSEI">DATA!$D$1051</definedName>
    <definedName name="wskakunin_NOBE_MENSEKI_BITIKUSOUKO_TOTAL">DATA!$D$1053</definedName>
    <definedName name="wskakunin_NOBE_MENSEKI_BUILD_IGAI">DATA!$D$1027</definedName>
    <definedName name="wskakunin_NOBE_MENSEKI_BUILD_SHINSEI">DATA!$D$1026</definedName>
    <definedName name="wskakunin_NOBE_MENSEKI_BUILD_TOTAL">DATA!$D$1028</definedName>
    <definedName name="wskakunin_NOBE_MENSEKI_CHOSUISOU_IGAI">DATA!$D$1067</definedName>
    <definedName name="wskakunin_NOBE_MENSEKI_CHOSUISOU_SHINSEI">DATA!$D$1066</definedName>
    <definedName name="wskakunin_NOBE_MENSEKI_CHOSUISOU_TOTAL">DATA!$D$1068</definedName>
    <definedName name="wskakunin_NOBE_MENSEKI_JIKAHATUDEN_IGAI">DATA!$D$1062</definedName>
    <definedName name="wskakunin_NOBE_MENSEKI_JIKAHATUDEN_SHINSEI">DATA!$D$1061</definedName>
    <definedName name="wskakunin_NOBE_MENSEKI_JIKAHATUDEN_TOTAL">DATA!$D$1063</definedName>
    <definedName name="wskakunin_NOBE_MENSEKI_JYUTAKU_IGAI">DATA!$D$1077</definedName>
    <definedName name="wskakunin_NOBE_MENSEKI_JYUTAKU_SHINSEI">DATA!$D$1076</definedName>
    <definedName name="wskakunin_NOBE_MENSEKI_JYUTAKU_TOTAL">DATA!$D$1078</definedName>
    <definedName name="wskakunin_NOBE_MENSEKI_KYOYOU_IGAI">DATA!$D$1042</definedName>
    <definedName name="wskakunin_NOBE_MENSEKI_KYOYOU_SHINSEI">DATA!$D$1041</definedName>
    <definedName name="wskakunin_NOBE_MENSEKI_KYOYOU_TOTAL">DATA!$D$1043</definedName>
    <definedName name="wskakunin_NOBE_MENSEKI_ROUJIN_IGAI">DATA!$D$1082</definedName>
    <definedName name="wskakunin_NOBE_MENSEKI_ROUJIN_SHINSEI">DATA!$D$1081</definedName>
    <definedName name="wskakunin_NOBE_MENSEKI_ROUJIN_TOTAL">DATA!$D$1083</definedName>
    <definedName name="wskakunin_NOBE_MENSEKI_SYAKO_IGAI">DATA!$D$1047</definedName>
    <definedName name="wskakunin_NOBE_MENSEKI_SYAKO_SHINSEI">DATA!$D$1046</definedName>
    <definedName name="wskakunin_NOBE_MENSEKI_SYAKO_TOTAL">DATA!$D$1048</definedName>
    <definedName name="wskakunin_NOBE_MENSEKI_SYOUKOURO_IGAI">DATA!$D$1037</definedName>
    <definedName name="wskakunin_NOBE_MENSEKI_SYOUKOURO_SHINSEI">DATA!$D$1036</definedName>
    <definedName name="wskakunin_NOBE_MENSEKI_SYOUKOURO_TOTAL">DATA!$D$1038</definedName>
    <definedName name="wskakunin_NOBE_MENSEKI_TAKUHAI_IGAI">DATA!$D$1072</definedName>
    <definedName name="wskakunin_NOBE_MENSEKI_TAKUHAI_SHINSEI">DATA!$D$1071</definedName>
    <definedName name="wskakunin_NOBE_MENSEKI_TAKUHAI_TOTAL">DATA!$D$1073</definedName>
    <definedName name="wskakunin_NOBE_MENSEKI_TIKAI_IGAI">DATA!$D$1032</definedName>
    <definedName name="wskakunin_NOBE_MENSEKI_TIKAI_SHINSEI">DATA!$D$1031</definedName>
    <definedName name="wskakunin_NOBE_MENSEKI_TIKAI_TOTAL">DATA!$D$1033</definedName>
    <definedName name="wskakunin_NOBE_MENSEKI_TIKUDENTI_IGAI">DATA!$D$1057</definedName>
    <definedName name="wskakunin_NOBE_MENSEKI_TIKUDENTI_SHINSEI">DATA!$D$1056</definedName>
    <definedName name="wskakunin_NOBE_MENSEKI_TIKUDENTI_TOTAL">DATA!$D$1058</definedName>
    <definedName name="wskakunin_owner1__address">DATA!$D$99</definedName>
    <definedName name="wskakunin_owner1_JIMU_NAME">DATA!$D$89</definedName>
    <definedName name="wskakunin_owner1_JIMU_NAME_KANA">DATA!$D$90</definedName>
    <definedName name="wskakunin_owner1_NAME">DATA!$D$93</definedName>
    <definedName name="wskakunin_owner1_NAME_KANA">DATA!$D$94</definedName>
    <definedName name="wskakunin_owner1_POST">DATA!$D$91</definedName>
    <definedName name="wskakunin_owner1_POST_KANA">DATA!$D$92</definedName>
    <definedName name="wskakunin_owner1_TEL">DATA!$D$100</definedName>
    <definedName name="wskakunin_owner1_ZIP">DATA!$D$97</definedName>
    <definedName name="wskakunin_owner2__address">DATA!$D$114</definedName>
    <definedName name="wskakunin_owner2_JIMU_NAME">DATA!$D$107</definedName>
    <definedName name="wskakunin_owner2_JIMU_NAME_KANA">DATA!$D$108</definedName>
    <definedName name="wskakunin_owner2_NAME">DATA!$D$111</definedName>
    <definedName name="wskakunin_owner2_NAME_KANA">DATA!$D$112</definedName>
    <definedName name="wskakunin_owner2_POST">DATA!$D$109</definedName>
    <definedName name="wskakunin_owner2_POST_KANA">DATA!$D$110</definedName>
    <definedName name="wskakunin_owner2_TEL">DATA!$D$115</definedName>
    <definedName name="wskakunin_owner2_ZIP">DATA!$D$113</definedName>
    <definedName name="wskakunin_owner3__address">DATA!$D$128</definedName>
    <definedName name="wskakunin_owner3_JIMU_NAME">DATA!$D$121</definedName>
    <definedName name="wskakunin_owner3_JIMU_NAME_KANA">DATA!$D$122</definedName>
    <definedName name="wskakunin_owner3_NAME">DATA!$D$125</definedName>
    <definedName name="wskakunin_owner3_NAME_KANA">DATA!$D$126</definedName>
    <definedName name="wskakunin_owner3_POST">DATA!$D$123</definedName>
    <definedName name="wskakunin_owner3_POST_KANA">DATA!$D$124</definedName>
    <definedName name="wskakunin_owner3_TEL">DATA!$D$129</definedName>
    <definedName name="wskakunin_owner3_ZIP">DATA!$D$127</definedName>
    <definedName name="wskakunin_owner4__address">DATA!$D$141</definedName>
    <definedName name="wskakunin_owner4_JIMU_NAME">DATA!$D$134</definedName>
    <definedName name="wskakunin_owner4_JIMU_NAME_KANA">DATA!$D$135</definedName>
    <definedName name="wskakunin_owner4_NAME">DATA!$D$138</definedName>
    <definedName name="wskakunin_owner4_NAME_KANA">DATA!$D$139</definedName>
    <definedName name="wskakunin_owner4_POST">DATA!$D$136</definedName>
    <definedName name="wskakunin_owner4_POST_KANA">DATA!$D$137</definedName>
    <definedName name="wskakunin_owner4_TEL">DATA!$D$142</definedName>
    <definedName name="wskakunin_owner4_ZIP">DATA!$D$140</definedName>
    <definedName name="wskakunin_owner5__address">DATA!$D$153</definedName>
    <definedName name="wskakunin_owner5_JIMU_NAME">DATA!$D$146</definedName>
    <definedName name="wskakunin_owner5_JIMU_NAME_KANA">DATA!$D$147</definedName>
    <definedName name="wskakunin_owner5_NAME">DATA!$D$150</definedName>
    <definedName name="wskakunin_owner5_NAME_KANA">DATA!$D$151</definedName>
    <definedName name="wskakunin_owner5_POST">DATA!$D$148</definedName>
    <definedName name="wskakunin_owner5_POST_KANA">DATA!$D$149</definedName>
    <definedName name="wskakunin_owner5_TEL">DATA!$D$154</definedName>
    <definedName name="wskakunin_owner5_ZIP">DATA!$D$152</definedName>
    <definedName name="wskakunin_owner6__address">DATA!$D$165</definedName>
    <definedName name="wskakunin_owner6_JIMU_NAME">DATA!$D$158</definedName>
    <definedName name="wskakunin_owner6_JIMU_NAME_KANA">DATA!$D$159</definedName>
    <definedName name="wskakunin_owner6_NAME">DATA!$D$162</definedName>
    <definedName name="wskakunin_owner6_NAME_KANA">DATA!$D$163</definedName>
    <definedName name="wskakunin_owner6_POST">DATA!$D$160</definedName>
    <definedName name="wskakunin_owner6_POST_KANA">DATA!$D$161</definedName>
    <definedName name="wskakunin_owner6_TEL">DATA!$D$166</definedName>
    <definedName name="wskakunin_owner6_ZIP">DATA!$D$164</definedName>
    <definedName name="wskakunin_owner7__address">DATA!$D$177</definedName>
    <definedName name="wskakunin_owner7_JIMU_NAME">DATA!$D$170</definedName>
    <definedName name="wskakunin_owner7_JIMU_NAME_KANA">DATA!$D$171</definedName>
    <definedName name="wskakunin_owner7_NAME">DATA!$D$174</definedName>
    <definedName name="wskakunin_owner7_NAME_KANA">DATA!$D$175</definedName>
    <definedName name="wskakunin_owner7_POST">DATA!$D$172</definedName>
    <definedName name="wskakunin_owner7_POST_KANA">DATA!$D$173</definedName>
    <definedName name="wskakunin_owner7_TEL">DATA!$D$178</definedName>
    <definedName name="wskakunin_owner7_ZIP">DATA!$D$176</definedName>
    <definedName name="wskakunin_owner8__address">DATA!$D$188</definedName>
    <definedName name="wskakunin_owner8_JIMU_NAME">DATA!$D$181</definedName>
    <definedName name="wskakunin_owner8_JIMU_NAME_KANA">DATA!$D$182</definedName>
    <definedName name="wskakunin_owner8_NAME">DATA!$D$185</definedName>
    <definedName name="wskakunin_owner8_NAME_KANA">DATA!$D$186</definedName>
    <definedName name="wskakunin_owner8_POST">DATA!$D$183</definedName>
    <definedName name="wskakunin_owner8_POST_KANA">DATA!$D$184</definedName>
    <definedName name="wskakunin_owner8_TEL">DATA!$D$189</definedName>
    <definedName name="wskakunin_owner8_ZIP">DATA!$D$187</definedName>
    <definedName name="wskakunin_owner9__address">DATA!$D$199</definedName>
    <definedName name="wskakunin_owner9_JIMU_NAME">DATA!$D$192</definedName>
    <definedName name="wskakunin_owner9_JIMU_NAME_KANA">DATA!$D$193</definedName>
    <definedName name="wskakunin_owner9_NAME">DATA!$D$196</definedName>
    <definedName name="wskakunin_owner9_NAME_KANA">DATA!$D$197</definedName>
    <definedName name="wskakunin_owner9_POST">DATA!$D$194</definedName>
    <definedName name="wskakunin_owner9_POST_KANA">DATA!$D$195</definedName>
    <definedName name="wskakunin_owner9_TEL">DATA!$D$200</definedName>
    <definedName name="wskakunin_owner9_ZIP">DATA!$D$198</definedName>
    <definedName name="wskakunin_P1_HENKOU_GAIYOU">DATA!$D$58</definedName>
    <definedName name="wskakunin_P2_BIKOU">DATA!$D$849</definedName>
    <definedName name="wskakunin_P3_BIKOU">DATA!$D$1183</definedName>
    <definedName name="wskakunin_P3_SONOTA">DATA!$D$1181</definedName>
    <definedName name="wskakunin_p4_1__kouji">DATA!$D$890</definedName>
    <definedName name="wskakunin_p4_1_KAISU_TIKAI">DATA!$D$892</definedName>
    <definedName name="wskakunin_p4_1_KAISU_TIKAI_NOZOKU">DATA!$D$891</definedName>
    <definedName name="wskakunin_p4_1_KOUZOU1">DATA!$D$893</definedName>
    <definedName name="wskakunin_p4_1_KOUZOU2">DATA!$D$894</definedName>
    <definedName name="wskakunin_p4_1_TAKASA_KEN_MAX">DATA!$D$896</definedName>
    <definedName name="wskakunin_p4_1_TAKASA_MAX">DATA!$D$895</definedName>
    <definedName name="wskakunin_p4_1_youto1_YOUTO">DATA!$D$881</definedName>
    <definedName name="wskakunin_p4_1_youto1_YOUTO_CODE">DATA!$D$882</definedName>
    <definedName name="wskakunin_p4_1_YUKA_MENSEKI_SHINSEI">DATA!$D$897</definedName>
    <definedName name="wskakunin_p4_2_KAISU_TIKAI">DATA!$D$900</definedName>
    <definedName name="wskakunin_p4_2_KAISU_TIKAI_NOZOKU">DATA!$D$899</definedName>
    <definedName name="wskakunin_p4_2_YUKA_MENSEKI_SHINSEI">DATA!$D$901</definedName>
    <definedName name="wskakunin_p4_3_KAISU_TIKAI">DATA!$D$904</definedName>
    <definedName name="wskakunin_p4_3_KAISU_TIKAI_NOZOKU">DATA!$D$903</definedName>
    <definedName name="wskakunin_p4_3_YUKA_MENSEKI_SHINSEI">DATA!$D$905</definedName>
    <definedName name="wskakunin_PAGE1_ALTERATION_NOTE">DATA!$D$65</definedName>
    <definedName name="wskakunin_sekkei1__address">DATA!$D$305</definedName>
    <definedName name="wskakunin_sekkei1__sikaku">DATA!$D$293</definedName>
    <definedName name="wskakunin_sekkei1_DOC">DATA!$D$307</definedName>
    <definedName name="wskakunin_sekkei1_JIMU__sikaku">DATA!$D$298</definedName>
    <definedName name="wskakunin_sekkei1_JIMU_NAME">DATA!$D$302</definedName>
    <definedName name="wskakunin_sekkei1_JIMU_NO">DATA!$D$301</definedName>
    <definedName name="wskakunin_sekkei1_JIMU_SIKAKU__label">DATA!$D$299</definedName>
    <definedName name="wskakunin_sekkei1_JIMU_TOUROKU_KIKAN__label">DATA!$D$300</definedName>
    <definedName name="wskakunin_sekkei1_KENTIKUSI_NO">DATA!$D$296</definedName>
    <definedName name="wskakunin_sekkei1_NAME">DATA!$D$297</definedName>
    <definedName name="wskakunin_sekkei1_SIKAKU__label">DATA!$D$294</definedName>
    <definedName name="wskakunin_sekkei1_TEL">DATA!$D$306</definedName>
    <definedName name="wskakunin_sekkei1_TOUROKU_KIKAN__label">DATA!$D$295</definedName>
    <definedName name="wskakunin_sekkei1_ZIP">DATA!$D$304</definedName>
    <definedName name="wskakunin_sekkei10__address">DATA!$D$458</definedName>
    <definedName name="wskakunin_sekkei10__sikaku">DATA!$D$446</definedName>
    <definedName name="wskakunin_sekkei10_DOC">DATA!$D$460</definedName>
    <definedName name="wskakunin_sekkei10_JIMU__sikaku">DATA!$D$451</definedName>
    <definedName name="wskakunin_sekkei10_JIMU_NAME">DATA!$D$455</definedName>
    <definedName name="wskakunin_sekkei10_JIMU_NO">DATA!$D$454</definedName>
    <definedName name="wskakunin_sekkei10_JIMU_SIKAKU__label">DATA!$D$452</definedName>
    <definedName name="wskakunin_sekkei10_JIMU_TOUROKU_KIKAN__label">DATA!$D$453</definedName>
    <definedName name="wskakunin_sekkei10_KENTIKUSI_NO">DATA!$D$449</definedName>
    <definedName name="wskakunin_sekkei10_NAME">DATA!$D$450</definedName>
    <definedName name="wskakunin_sekkei10_SIKAKU__label">DATA!$D$447</definedName>
    <definedName name="wskakunin_sekkei10_TEL">DATA!$D$459</definedName>
    <definedName name="wskakunin_sekkei10_TOUROKU_KIKAN__label">DATA!$D$448</definedName>
    <definedName name="wskakunin_sekkei10_ZIP">DATA!$D$457</definedName>
    <definedName name="wskakunin_sekkei11__address">DATA!$D$475</definedName>
    <definedName name="wskakunin_sekkei11__sikaku">DATA!$D$463</definedName>
    <definedName name="wskakunin_sekkei11_DOC">DATA!$D$477</definedName>
    <definedName name="wskakunin_sekkei11_JIMU__sikaku">DATA!$D$468</definedName>
    <definedName name="wskakunin_sekkei11_JIMU_NAME">DATA!$D$472</definedName>
    <definedName name="wskakunin_sekkei11_JIMU_NO">DATA!$D$471</definedName>
    <definedName name="wskakunin_sekkei11_JIMU_SIKAKU__label">DATA!$D$469</definedName>
    <definedName name="wskakunin_sekkei11_JIMU_TOUROKU_KIKAN__label">DATA!$D$470</definedName>
    <definedName name="wskakunin_sekkei11_KENTIKUSI_NO">DATA!$D$466</definedName>
    <definedName name="wskakunin_sekkei11_NAME">DATA!$D$467</definedName>
    <definedName name="wskakunin_sekkei11_SIKAKU__label">DATA!$D$464</definedName>
    <definedName name="wskakunin_sekkei11_TEL">DATA!$D$476</definedName>
    <definedName name="wskakunin_sekkei11_TOUROKU_KIKAN__label">DATA!$D$465</definedName>
    <definedName name="wskakunin_sekkei11_ZIP">DATA!$D$474</definedName>
    <definedName name="wskakunin_sekkei12__address">DATA!$D$492</definedName>
    <definedName name="wskakunin_sekkei12__sikaku">DATA!$D$480</definedName>
    <definedName name="wskakunin_sekkei12_DOC">DATA!$D$494</definedName>
    <definedName name="wskakunin_sekkei12_JIMU__sikaku">DATA!$D$485</definedName>
    <definedName name="wskakunin_sekkei12_JIMU_NAME">DATA!$D$489</definedName>
    <definedName name="wskakunin_sekkei12_JIMU_NO">DATA!$D$488</definedName>
    <definedName name="wskakunin_sekkei12_JIMU_SIKAKU__label">DATA!$D$486</definedName>
    <definedName name="wskakunin_sekkei12_JIMU_TOUROKU_KIKAN__label">DATA!$D$487</definedName>
    <definedName name="wskakunin_sekkei12_KENTIKUSI_NO">DATA!$D$483</definedName>
    <definedName name="wskakunin_sekkei12_NAME">DATA!$D$484</definedName>
    <definedName name="wskakunin_sekkei12_SIKAKU__label">DATA!$D$481</definedName>
    <definedName name="wskakunin_sekkei12_TEL">DATA!$D$493</definedName>
    <definedName name="wskakunin_sekkei12_TOUROKU_KIKAN__label">DATA!$D$482</definedName>
    <definedName name="wskakunin_sekkei12_ZIP">DATA!$D$491</definedName>
    <definedName name="wskakunin_sekkei2__address">DATA!$D$322</definedName>
    <definedName name="wskakunin_sekkei2__sikaku">DATA!$D$310</definedName>
    <definedName name="wskakunin_sekkei2_DOC">DATA!$D$324</definedName>
    <definedName name="wskakunin_sekkei2_JIMU__sikaku">DATA!$D$315</definedName>
    <definedName name="wskakunin_sekkei2_JIMU_NAME">DATA!$D$319</definedName>
    <definedName name="wskakunin_sekkei2_JIMU_NO">DATA!$D$318</definedName>
    <definedName name="wskakunin_sekkei2_JIMU_SIKAKU__label">DATA!$D$316</definedName>
    <definedName name="wskakunin_sekkei2_JIMU_TOUROKU_KIKAN__label">DATA!$D$317</definedName>
    <definedName name="wskakunin_sekkei2_KENTIKUSI_NO">DATA!$D$313</definedName>
    <definedName name="wskakunin_sekkei2_NAME">DATA!$D$314</definedName>
    <definedName name="wskakunin_sekkei2_SIKAKU__label">DATA!$D$311</definedName>
    <definedName name="wskakunin_sekkei2_TEL">DATA!$D$323</definedName>
    <definedName name="wskakunin_sekkei2_TOUROKU_KIKAN__label">DATA!$D$312</definedName>
    <definedName name="wskakunin_sekkei2_ZIP">DATA!$D$321</definedName>
    <definedName name="wskakunin_sekkei3__address">DATA!$D$339</definedName>
    <definedName name="wskakunin_sekkei3__sikaku">DATA!$D$327</definedName>
    <definedName name="wskakunin_sekkei3_DOC">DATA!$D$341</definedName>
    <definedName name="wskakunin_sekkei3_JIMU__sikaku">DATA!$D$332</definedName>
    <definedName name="wskakunin_sekkei3_JIMU_NAME">DATA!$D$336</definedName>
    <definedName name="wskakunin_sekkei3_JIMU_NO">DATA!$D$335</definedName>
    <definedName name="wskakunin_sekkei3_JIMU_SIKAKU__label">DATA!$D$333</definedName>
    <definedName name="wskakunin_sekkei3_JIMU_TOUROKU_KIKAN__label">DATA!$D$334</definedName>
    <definedName name="wskakunin_sekkei3_KENTIKUSI_NO">DATA!$D$330</definedName>
    <definedName name="wskakunin_sekkei3_NAME">DATA!$D$331</definedName>
    <definedName name="wskakunin_sekkei3_SIKAKU__label">DATA!$D$328</definedName>
    <definedName name="wskakunin_sekkei3_TEL">DATA!$D$340</definedName>
    <definedName name="wskakunin_sekkei3_TOUROKU_KIKAN__label">DATA!$D$329</definedName>
    <definedName name="wskakunin_sekkei3_ZIP">DATA!$D$338</definedName>
    <definedName name="wskakunin_sekkei4__address">DATA!$D$356</definedName>
    <definedName name="wskakunin_sekkei4__sikaku">DATA!$D$344</definedName>
    <definedName name="wskakunin_sekkei4_DOC">DATA!$D$358</definedName>
    <definedName name="wskakunin_sekkei4_JIMU__sikaku">DATA!$D$349</definedName>
    <definedName name="wskakunin_sekkei4_JIMU_NAME">DATA!$D$353</definedName>
    <definedName name="wskakunin_sekkei4_JIMU_NO">DATA!$D$352</definedName>
    <definedName name="wskakunin_sekkei4_JIMU_SIKAKU__label">DATA!$D$350</definedName>
    <definedName name="wskakunin_sekkei4_JIMU_TOUROKU_KIKAN__label">DATA!$D$351</definedName>
    <definedName name="wskakunin_sekkei4_KENTIKUSI_NO">DATA!$D$347</definedName>
    <definedName name="wskakunin_sekkei4_NAME">DATA!$D$348</definedName>
    <definedName name="wskakunin_sekkei4_SIKAKU__label">DATA!$D$345</definedName>
    <definedName name="wskakunin_sekkei4_TEL">DATA!$D$357</definedName>
    <definedName name="wskakunin_sekkei4_TOUROKU_KIKAN__label">DATA!$D$346</definedName>
    <definedName name="wskakunin_sekkei4_ZIP">DATA!$D$355</definedName>
    <definedName name="wskakunin_sekkei5__address">DATA!$D$373</definedName>
    <definedName name="wskakunin_sekkei5__sikaku">DATA!$D$361</definedName>
    <definedName name="wskakunin_sekkei5_DOC">DATA!$D$375</definedName>
    <definedName name="wskakunin_sekkei5_JIMU__sikaku">DATA!$D$366</definedName>
    <definedName name="wskakunin_sekkei5_JIMU_NAME">DATA!$D$370</definedName>
    <definedName name="wskakunin_sekkei5_JIMU_NO">DATA!$D$369</definedName>
    <definedName name="wskakunin_sekkei5_JIMU_SIKAKU__label">DATA!$D$367</definedName>
    <definedName name="wskakunin_sekkei5_JIMU_TOUROKU_KIKAN__label">DATA!$D$368</definedName>
    <definedName name="wskakunin_sekkei5_KENTIKUSI_NO">DATA!$D$364</definedName>
    <definedName name="wskakunin_sekkei5_NAME">DATA!$D$365</definedName>
    <definedName name="wskakunin_sekkei5_SIKAKU__label">DATA!$D$362</definedName>
    <definedName name="wskakunin_sekkei5_TEL">DATA!$D$374</definedName>
    <definedName name="wskakunin_sekkei5_TOUROKU_KIKAN__label">DATA!$D$363</definedName>
    <definedName name="wskakunin_sekkei5_ZIP">DATA!$D$372</definedName>
    <definedName name="wskakunin_sekkei6__address">DATA!$D$390</definedName>
    <definedName name="wskakunin_sekkei6__sikaku">DATA!$D$378</definedName>
    <definedName name="wskakunin_sekkei6_DOC">DATA!$D$392</definedName>
    <definedName name="wskakunin_sekkei6_JIMU__sikaku">DATA!$D$383</definedName>
    <definedName name="wskakunin_sekkei6_JIMU_NAME">DATA!$D$387</definedName>
    <definedName name="wskakunin_sekkei6_JIMU_NO">DATA!$D$386</definedName>
    <definedName name="wskakunin_sekkei6_JIMU_SIKAKU__label">DATA!$D$384</definedName>
    <definedName name="wskakunin_sekkei6_JIMU_TOUROKU_KIKAN__label">DATA!$D$385</definedName>
    <definedName name="wskakunin_sekkei6_KENTIKUSI_NO">DATA!$D$381</definedName>
    <definedName name="wskakunin_sekkei6_NAME">DATA!$D$382</definedName>
    <definedName name="wskakunin_sekkei6_SIKAKU__label">DATA!$D$379</definedName>
    <definedName name="wskakunin_sekkei6_TEL">DATA!$D$391</definedName>
    <definedName name="wskakunin_sekkei6_TOUROKU_KIKAN__label">DATA!$D$380</definedName>
    <definedName name="wskakunin_sekkei6_ZIP">DATA!$D$389</definedName>
    <definedName name="wskakunin_sekkei7__address">DATA!$D$407</definedName>
    <definedName name="wskakunin_sekkei7__sikaku">DATA!$D$395</definedName>
    <definedName name="wskakunin_sekkei7_DOC">DATA!$D$409</definedName>
    <definedName name="wskakunin_sekkei7_JIMU__sikaku">DATA!$D$400</definedName>
    <definedName name="wskakunin_sekkei7_JIMU_NAME">DATA!$D$404</definedName>
    <definedName name="wskakunin_sekkei7_JIMU_NO">DATA!$D$403</definedName>
    <definedName name="wskakunin_sekkei7_JIMU_SIKAKU__label">DATA!$D$401</definedName>
    <definedName name="wskakunin_sekkei7_JIMU_TOUROKU_KIKAN__label">DATA!$D$402</definedName>
    <definedName name="wskakunin_sekkei7_KENTIKUSI_NO">DATA!$D$398</definedName>
    <definedName name="wskakunin_sekkei7_NAME">DATA!$D$399</definedName>
    <definedName name="wskakunin_sekkei7_SIKAKU__label">DATA!$D$396</definedName>
    <definedName name="wskakunin_sekkei7_TEL">DATA!$D$408</definedName>
    <definedName name="wskakunin_sekkei7_TOUROKU_KIKAN__label">DATA!$D$397</definedName>
    <definedName name="wskakunin_sekkei7_ZIP">DATA!$D$406</definedName>
    <definedName name="wskakunin_sekkei8__address">DATA!$D$424</definedName>
    <definedName name="wskakunin_sekkei8__sikaku">DATA!$D$412</definedName>
    <definedName name="wskakunin_sekkei8_DOC">DATA!$D$426</definedName>
    <definedName name="wskakunin_sekkei8_JIMU__sikaku">DATA!$D$417</definedName>
    <definedName name="wskakunin_sekkei8_JIMU_NAME">DATA!$D$421</definedName>
    <definedName name="wskakunin_sekkei8_JIMU_NO">DATA!$D$420</definedName>
    <definedName name="wskakunin_sekkei8_JIMU_SIKAKU__label">DATA!$D$418</definedName>
    <definedName name="wskakunin_sekkei8_JIMU_TOUROKU_KIKAN__label">DATA!$D$419</definedName>
    <definedName name="wskakunin_sekkei8_KENTIKUSI_NO">DATA!$D$415</definedName>
    <definedName name="wskakunin_sekkei8_NAME">DATA!$D$416</definedName>
    <definedName name="wskakunin_sekkei8_SIKAKU__label">DATA!$D$413</definedName>
    <definedName name="wskakunin_sekkei8_TEL">DATA!$D$425</definedName>
    <definedName name="wskakunin_sekkei8_TOUROKU_KIKAN__label">DATA!$D$414</definedName>
    <definedName name="wskakunin_sekkei8_ZIP">DATA!$D$423</definedName>
    <definedName name="wskakunin_sekkei9__address">DATA!$D$441</definedName>
    <definedName name="wskakunin_sekkei9__sikaku">DATA!$D$429</definedName>
    <definedName name="wskakunin_sekkei9_DOC">DATA!$D$443</definedName>
    <definedName name="wskakunin_sekkei9_JIMU__sikaku">DATA!$D$434</definedName>
    <definedName name="wskakunin_sekkei9_JIMU_NAME">DATA!$D$438</definedName>
    <definedName name="wskakunin_sekkei9_JIMU_NO">DATA!$D$437</definedName>
    <definedName name="wskakunin_sekkei9_JIMU_SIKAKU__label">DATA!$D$435</definedName>
    <definedName name="wskakunin_sekkei9_JIMU_TOUROKU_KIKAN__label">DATA!$D$436</definedName>
    <definedName name="wskakunin_sekkei9_KENTIKUSI_NO">DATA!$D$432</definedName>
    <definedName name="wskakunin_sekkei9_NAME">DATA!$D$433</definedName>
    <definedName name="wskakunin_sekkei9_SIKAKU__label">DATA!$D$430</definedName>
    <definedName name="wskakunin_sekkei9_TEL">DATA!$D$442</definedName>
    <definedName name="wskakunin_sekkei9_TOUROKU_KIKAN__label">DATA!$D$431</definedName>
    <definedName name="wskakunin_sekkei9_ZIP">DATA!$D$440</definedName>
    <definedName name="wskakunin_sekou1__address">DATA!$D$790</definedName>
    <definedName name="wskakunin_sekou1_JIMU_NAME">DATA!$D$788</definedName>
    <definedName name="wskakunin_sekou1_NAME">DATA!$D$784</definedName>
    <definedName name="wskakunin_sekou1_SEKOU__sikaku">DATA!$D$785</definedName>
    <definedName name="wskakunin_sekou1_SEKOU_NO">DATA!$D$787</definedName>
    <definedName name="wskakunin_sekou1_SEKOU_SIKAKU__label">DATA!$D$786</definedName>
    <definedName name="wskakunin_sekou1_TEL">DATA!$D$791</definedName>
    <definedName name="wskakunin_sekou1_ZIP">DATA!$D$789</definedName>
    <definedName name="wskakunin_sekou2__address">DATA!$D$800</definedName>
    <definedName name="wskakunin_sekou2_JIMU_NAME">DATA!$D$798</definedName>
    <definedName name="wskakunin_sekou2_NAME">DATA!$D$794</definedName>
    <definedName name="wskakunin_sekou2_SEKOU__sikaku">DATA!$D$795</definedName>
    <definedName name="wskakunin_sekou2_SEKOU_NO">DATA!$D$797</definedName>
    <definedName name="wskakunin_sekou2_SEKOU_SIKAKU__label">DATA!$D$796</definedName>
    <definedName name="wskakunin_sekou2_TEL">DATA!$D$801</definedName>
    <definedName name="wskakunin_sekou2_ZIP">DATA!$D$799</definedName>
    <definedName name="wskakunin_sekou3__address">DATA!$D$810</definedName>
    <definedName name="wskakunin_sekou3_JIMU_NAME">DATA!$D$808</definedName>
    <definedName name="wskakunin_sekou3_NAME">DATA!$D$804</definedName>
    <definedName name="wskakunin_sekou3_SEKOU__sikaku">DATA!$D$805</definedName>
    <definedName name="wskakunin_sekou3_SEKOU_NO">DATA!$D$807</definedName>
    <definedName name="wskakunin_sekou3_SEKOU_SIKAKU__label">DATA!$D$806</definedName>
    <definedName name="wskakunin_sekou3_TEL">DATA!$D$811</definedName>
    <definedName name="wskakunin_sekou3_ZIP">DATA!$D$809</definedName>
    <definedName name="wskakunin_sekou4__address">DATA!$D$820</definedName>
    <definedName name="wskakunin_sekou4_JIMU_NAME">DATA!$D$818</definedName>
    <definedName name="wskakunin_sekou4_NAME">DATA!$D$814</definedName>
    <definedName name="wskakunin_sekou4_SEKOU__sikaku">DATA!$D$815</definedName>
    <definedName name="wskakunin_sekou4_SEKOU_NO">DATA!$D$817</definedName>
    <definedName name="wskakunin_sekou4_SEKOU_SIKAKU__label">DATA!$D$816</definedName>
    <definedName name="wskakunin_sekou4_TEL">DATA!$D$821</definedName>
    <definedName name="wskakunin_sekou4_ZIP">DATA!$D$819</definedName>
    <definedName name="wskakunin_sekou5__address">DATA!$D$830</definedName>
    <definedName name="wskakunin_sekou5_JIMU_NAME">DATA!$D$828</definedName>
    <definedName name="wskakunin_sekou5_NAME">DATA!$D$824</definedName>
    <definedName name="wskakunin_sekou5_SEKOU__sikaku">DATA!$D$825</definedName>
    <definedName name="wskakunin_sekou5_SEKOU_NO">DATA!$D$827</definedName>
    <definedName name="wskakunin_sekou5_SEKOU_SIKAKU__label">DATA!$D$826</definedName>
    <definedName name="wskakunin_sekou5_TEL">DATA!$D$831</definedName>
    <definedName name="wskakunin_sekou5_ZIP">DATA!$D$829</definedName>
    <definedName name="wskakunin_sekou6__address">DATA!$D$840</definedName>
    <definedName name="wskakunin_sekou6_JIMU_NAME">DATA!$D$838</definedName>
    <definedName name="wskakunin_sekou6_NAME">DATA!$D$834</definedName>
    <definedName name="wskakunin_sekou6_SEKOU__sikaku">DATA!$D$835</definedName>
    <definedName name="wskakunin_sekou6_SEKOU_NO">DATA!$D$837</definedName>
    <definedName name="wskakunin_sekou6_SEKOU_SIKAKU__label">DATA!$D$836</definedName>
    <definedName name="wskakunin_sekou6_TEL">DATA!$D$841</definedName>
    <definedName name="wskakunin_sekou6_ZIP">DATA!$D$839</definedName>
    <definedName name="wskakunin_SHIKITI_MENSEKI_1_TOTAL">DATA!$D$968</definedName>
    <definedName name="wskakunin_SHIKITI_MENSEKI_1A">DATA!$D$944</definedName>
    <definedName name="wskakunin_SHIKITI_MENSEKI_1B">DATA!$D$945</definedName>
    <definedName name="wskakunin_SHIKITI_MENSEKI_1C">DATA!$D$946</definedName>
    <definedName name="wskakunin_SHIKITI_MENSEKI_1D">DATA!$D$947</definedName>
    <definedName name="wskakunin_SHIKITI_MENSEKI_2_TOTAL">DATA!$D$970</definedName>
    <definedName name="wskakunin_SHIKITI_MENSEKI_2A">DATA!$D$948</definedName>
    <definedName name="wskakunin_SHIKITI_MENSEKI_2B">DATA!$D$949</definedName>
    <definedName name="wskakunin_SHIKITI_MENSEKI_2C">DATA!$D$950</definedName>
    <definedName name="wskakunin_SHIKITI_MENSEKI_2D">DATA!$D$951</definedName>
    <definedName name="wskakunin_SHIKITI_MENSEKI_BIKOU">DATA!$D$973</definedName>
    <definedName name="wskakunin_SHINSEI_DATE">DATA!$D$53</definedName>
    <definedName name="wskakunin_SONOTA_KUIKI">DATA!$D$936</definedName>
    <definedName name="wskakunin_TAKASA_MAX_SHINSEI">DATA!$D$1097</definedName>
    <definedName name="wskakunin_TAKASA_MAX_SONOTA">DATA!$D$1098</definedName>
    <definedName name="wskakunin_tekihan01_TEKIHAN_KIKAN_ADDRESS">DATA!$D$859</definedName>
    <definedName name="wskakunin_tekihan01_TEKIHAN_KIKAN_KEN__ken">DATA!$D$858</definedName>
    <definedName name="wskakunin_tekihan01_TEKIHAN_KIKAN_NAME">DATA!$D$857</definedName>
    <definedName name="wskakunin_tekihan01_TEKIHAN_STATE">DATA!$D$853</definedName>
    <definedName name="wskakunin_tekihan02_TEKIHAN_KIKAN_ADDRESS">DATA!$D$863</definedName>
    <definedName name="wskakunin_tekihan02_TEKIHAN_KIKAN_KEN__ken">DATA!$D$862</definedName>
    <definedName name="wskakunin_tekihan02_TEKIHAN_KIKAN_NAME">DATA!$D$861</definedName>
    <definedName name="wskakunin_TOKUREI_1">DATA!$D$1191</definedName>
    <definedName name="wskakunin_TOKUREI_2">DATA!$D$1192</definedName>
    <definedName name="wskakunin_TOKUREI_3">DATA!$D$1193</definedName>
    <definedName name="wskakunin_TOKUREI_4">DATA!$D$1194</definedName>
    <definedName name="wskakunin_TOKUREI_TAKASA">DATA!$D$1112</definedName>
    <definedName name="wskakunin_TOKUREI_TAKASA_DOURO">DATA!$D$1117</definedName>
    <definedName name="wskakunin_TOKUREI_TAKASA_KITA">DATA!$D$1119</definedName>
    <definedName name="wskakunin_TOKUREI_TAKASA_RINTI">DATA!$D$1118</definedName>
    <definedName name="wskakunin_TOKUTEI_KOUJI_KANRYOU_DATE">DATA!$D$1206</definedName>
    <definedName name="wskakunin_TOKUTEI_KOUTEI">DATA!$D$1203</definedName>
    <definedName name="wskakunin_YOUSEKI_RITU">DATA!$D$1089</definedName>
    <definedName name="wskakunin_YOUSEKI_RITU_A">DATA!$D$958</definedName>
    <definedName name="wskakunin_YOUSEKI_RITU_B">DATA!$D$959</definedName>
    <definedName name="wskakunin_YOUSEKI_RITU_C">DATA!$D$960</definedName>
    <definedName name="wskakunin_YOUSEKI_RITU_D">DATA!$D$961</definedName>
    <definedName name="wskakunin_YOUTO">DATA!$D$976</definedName>
    <definedName name="wskakunin_YOUTO_CODE">DATA!$D$975</definedName>
    <definedName name="wskakunin_YOUTO_TIIKI_A">DATA!$D$953</definedName>
    <definedName name="wskakunin_YOUTO_TIIKI_B">DATA!$D$954</definedName>
    <definedName name="wskakunin_YOUTO_TIIKI_C">DATA!$D$955</definedName>
    <definedName name="wskakunin_YOUTO_TIIKI_D">DATA!$D$956</definedName>
    <definedName name="wskakuninKOUJI_SETUBI">DATA!$D$987</definedName>
    <definedName name="wssonota_owner1__address">DATA!$D$80</definedName>
    <definedName name="wssonota_owner1_JIMU_NAME">DATA!$D$71</definedName>
    <definedName name="wssonota_owner1_JIMU_NAME_KANA">DATA!$D$72</definedName>
    <definedName name="wssonota_owner1_NAME">DATA!$D$75</definedName>
    <definedName name="wssonota_owner1_NAME_KANA">DATA!$D$76</definedName>
    <definedName name="wssonota_owner1_POST">DATA!$D$73</definedName>
    <definedName name="wssonota_owner1_POST_KANA">DATA!$D$74</definedName>
    <definedName name="wssonota_owner1_TEL">DATA!$D$81</definedName>
    <definedName name="wssonota_owner1_ZIP">DATA!$D$79</definedName>
    <definedName name="Z_D83ABAE7_1F4C_4C77_8E04_C5172671ED17_.wvu.Rows" localSheetId="3" hidden="1">DATA!$883:$889</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認">INDIRECT(軽微な変更説明書!$AB$18)</definedName>
    <definedName name="確認図形">軽微な変更説明書!$O$20</definedName>
    <definedName name="確変">リスト!$S$1:$S$2</definedName>
    <definedName name="居住産業併用建築物コード">建築工事届!$O$63</definedName>
    <definedName name="居住産業併用建築物コード2">建築工事届!$O$114</definedName>
    <definedName name="居住産業併用建築物テキスト">建築工事届_主要用途!$C$3</definedName>
    <definedName name="居住産業併用建築物テキスト2">建築工事届_主要用途!$E$3</definedName>
    <definedName name="居住専用建築物コード">建築工事届!$O$62</definedName>
    <definedName name="居住専用建築物コード2">建築工事届!$O$113</definedName>
    <definedName name="居住専用建築物テキスト">建築工事届_主要用途!$C$2</definedName>
    <definedName name="居住専用建築物テキスト2">建築工事届_主要用途!$E$2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監理計画届" hidden="1">#REF!</definedName>
    <definedName name="工事届用主要用途">項目リスト!$AO$3:$AO$7</definedName>
    <definedName name="工事届用主要用途2">項目リスト!$AP$3:$AP$39</definedName>
    <definedName name="構造">項目リスト!$AF$3:$AF$8</definedName>
    <definedName name="号">リスト!$U$1:$U$2</definedName>
    <definedName name="産業専用建築物コード">建築工事届!$O$64</definedName>
    <definedName name="産業専用建築物コード2">建築工事届!$O$115</definedName>
    <definedName name="産業専用建築物テキスト">建築工事届_主要用途!$C$4</definedName>
    <definedName name="産業専用建築物テキスト2">建築工事届_主要用途!$E$4</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中間検査">INDIRECT(軽微な変更説明書!$AE$18)</definedName>
    <definedName name="中間検査図形">軽微な変更説明書!$P$20:$Q$20</definedName>
    <definedName name="都道府県">リスト!$B$1:$B$3</definedName>
    <definedName name="特定工程">リスト!$N$1:$N$12</definedName>
    <definedName name="二級">項目リスト!$B$3:$B$49</definedName>
    <definedName name="年度">リスト!$E$1:$E$22</definedName>
    <definedName name="非表示">軽微な変更説明書!$R$20</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62913"/>
  <customWorkbookViews>
    <customWorkbookView name="terada - 個人用ビュー" guid="{2DA24103-744A-47E0-AFFB-F94A0E194D57}" mergeInterval="0" personalView="1" xWindow="2047" yWindow="11" windowWidth="1720" windowHeight="1010" tabRatio="947" activeSheetId="1"/>
    <customWorkbookView name="tokunaga - 個人用ビュー" guid="{D83ABAE7-1F4C-4C77-8E04-C5172671ED17}" mergeInterval="0" personalView="1" maximized="1" xWindow="1912" yWindow="-8" windowWidth="1936" windowHeight="1096" tabRatio="947" activeSheetId="2"/>
    <customWorkbookView name="kasumi-PC - 個人用ビュー" guid="{E028D9C5-4CBB-430B-B1F8-80DD1ABDFA29}" mergeInterval="0" personalView="1" maximized="1" xWindow="1912" yWindow="-8" windowWidth="1936" windowHeight="1096" tabRatio="947" activeSheetId="3"/>
  </customWorkbookViews>
</workbook>
</file>

<file path=xl/calcChain.xml><?xml version="1.0" encoding="utf-8"?>
<calcChain xmlns="http://schemas.openxmlformats.org/spreadsheetml/2006/main">
  <c r="F13" i="85" l="1"/>
  <c r="F11" i="85"/>
  <c r="AM8" i="85"/>
  <c r="F8" i="85"/>
  <c r="F6" i="85"/>
  <c r="AM3" i="85"/>
  <c r="AM2" i="85"/>
  <c r="F18" i="86"/>
  <c r="F17" i="86"/>
  <c r="F16" i="86"/>
  <c r="F14" i="86"/>
  <c r="F12" i="86"/>
  <c r="F11" i="86"/>
  <c r="F10" i="86"/>
  <c r="F8" i="86"/>
  <c r="AN3" i="86"/>
  <c r="AN2" i="86"/>
  <c r="H15" i="69"/>
  <c r="H14" i="69"/>
  <c r="N10" i="69"/>
  <c r="N8" i="69"/>
  <c r="I19" i="84"/>
  <c r="I16" i="84"/>
  <c r="P11" i="84"/>
  <c r="P9" i="84"/>
  <c r="J19" i="74"/>
  <c r="J16" i="74"/>
  <c r="G13" i="74"/>
  <c r="E13" i="74"/>
  <c r="B13" i="74"/>
  <c r="Q11" i="74"/>
  <c r="Q9" i="74"/>
  <c r="J19" i="73"/>
  <c r="J16" i="73"/>
  <c r="G13" i="73"/>
  <c r="E13" i="73"/>
  <c r="B13" i="73"/>
  <c r="Q11" i="73"/>
  <c r="Q9" i="73"/>
  <c r="J19" i="72"/>
  <c r="O18" i="72"/>
  <c r="M18" i="72"/>
  <c r="J18" i="72"/>
  <c r="J17" i="72"/>
  <c r="J16" i="72"/>
  <c r="G13" i="72"/>
  <c r="E13" i="72"/>
  <c r="B13" i="72"/>
  <c r="Q11" i="72"/>
  <c r="Q9" i="72"/>
  <c r="F25" i="79"/>
  <c r="F23" i="79"/>
  <c r="M17" i="79"/>
  <c r="M15" i="79"/>
  <c r="R16" i="70"/>
  <c r="I16" i="70"/>
  <c r="I15" i="70"/>
  <c r="I14" i="70"/>
  <c r="Q9" i="70"/>
  <c r="Q7" i="70"/>
  <c r="BJ229" i="78"/>
  <c r="BB229" i="78"/>
  <c r="AB229" i="78"/>
  <c r="BB224" i="78"/>
  <c r="AG224" i="78"/>
  <c r="AA221" i="78"/>
  <c r="AK216" i="78"/>
  <c r="AB216" i="78"/>
  <c r="AA208" i="78"/>
  <c r="AV205" i="78"/>
  <c r="AV202" i="78"/>
  <c r="T202" i="78"/>
  <c r="AP199" i="78"/>
  <c r="T199" i="78"/>
  <c r="AN195" i="78"/>
  <c r="Z195" i="78"/>
  <c r="BB192" i="78"/>
  <c r="AP192" i="78"/>
  <c r="AI190" i="78"/>
  <c r="AI188" i="78"/>
  <c r="AI186" i="78"/>
  <c r="AN184" i="78"/>
  <c r="T183" i="78"/>
  <c r="BA180" i="78"/>
  <c r="AM180" i="78"/>
  <c r="U175" i="78"/>
  <c r="U170" i="78"/>
  <c r="BB163" i="78"/>
  <c r="U163" i="78"/>
  <c r="BC159" i="78"/>
  <c r="AT159" i="78"/>
  <c r="AQ159" i="78"/>
  <c r="AG159" i="78"/>
  <c r="U155" i="78"/>
  <c r="U151" i="78"/>
  <c r="U146" i="78"/>
  <c r="U142" i="78"/>
  <c r="U53" i="78"/>
  <c r="U48" i="78"/>
  <c r="U24" i="78"/>
  <c r="U20" i="78"/>
  <c r="U5" i="81"/>
  <c r="U4" i="81"/>
  <c r="R115" i="80"/>
  <c r="R114" i="80"/>
  <c r="R113" i="80"/>
  <c r="W109" i="80"/>
  <c r="H109" i="80"/>
  <c r="W108" i="80"/>
  <c r="H108" i="80"/>
  <c r="N95" i="80"/>
  <c r="W94" i="80"/>
  <c r="P94" i="80"/>
  <c r="I94" i="80"/>
  <c r="W92" i="80"/>
  <c r="P92" i="80"/>
  <c r="I92" i="80"/>
  <c r="W88" i="80"/>
  <c r="P88" i="80"/>
  <c r="I88" i="80"/>
  <c r="W66" i="80"/>
  <c r="P66" i="80"/>
  <c r="I66" i="80"/>
  <c r="R64" i="80"/>
  <c r="R63" i="80"/>
  <c r="R62" i="80"/>
  <c r="U61" i="80"/>
  <c r="P61" i="80"/>
  <c r="K61" i="80"/>
  <c r="F61" i="80"/>
  <c r="G60" i="80"/>
  <c r="R59" i="80"/>
  <c r="G59" i="80"/>
  <c r="N58" i="80"/>
  <c r="G58" i="80"/>
  <c r="G55" i="80"/>
  <c r="Q47" i="80"/>
  <c r="O47" i="80"/>
  <c r="K47" i="80"/>
  <c r="Q46" i="80"/>
  <c r="O46" i="80"/>
  <c r="K46" i="80"/>
  <c r="I34" i="80"/>
  <c r="N33" i="80"/>
  <c r="L33" i="80"/>
  <c r="H33" i="80"/>
  <c r="Q32" i="80"/>
  <c r="J32" i="80"/>
  <c r="I32" i="80"/>
  <c r="E30" i="80"/>
  <c r="E29" i="80"/>
  <c r="E28" i="80"/>
  <c r="E27" i="80"/>
  <c r="E25" i="80"/>
  <c r="E23" i="80"/>
  <c r="E22" i="80"/>
  <c r="E21" i="80"/>
  <c r="E20" i="80"/>
  <c r="E18" i="80"/>
  <c r="E16" i="80"/>
  <c r="E15" i="80"/>
  <c r="E14" i="80"/>
  <c r="E12" i="80"/>
  <c r="B10" i="80"/>
  <c r="Y8" i="80"/>
  <c r="W8" i="80"/>
  <c r="S8" i="80"/>
  <c r="AY35" i="77"/>
  <c r="AX35" i="77"/>
  <c r="AW35" i="77"/>
  <c r="AV35" i="77"/>
  <c r="AU35" i="77"/>
  <c r="AY34" i="77"/>
  <c r="AX34" i="77"/>
  <c r="AW34" i="77"/>
  <c r="AV34" i="77"/>
  <c r="AU34" i="77"/>
  <c r="AY33" i="77"/>
  <c r="AX33" i="77"/>
  <c r="AW33" i="77"/>
  <c r="AV33" i="77"/>
  <c r="AU33" i="77"/>
  <c r="AY32" i="77"/>
  <c r="AX32" i="77"/>
  <c r="AW32" i="77"/>
  <c r="AV32" i="77"/>
  <c r="AU32" i="77"/>
  <c r="AA32" i="77"/>
  <c r="AY31" i="77"/>
  <c r="AX31" i="77"/>
  <c r="AW31" i="77"/>
  <c r="AV31" i="77"/>
  <c r="AU31" i="77"/>
  <c r="AA31" i="77"/>
  <c r="AY30" i="77"/>
  <c r="AX30" i="77"/>
  <c r="AW30" i="77"/>
  <c r="AV30" i="77"/>
  <c r="AU30" i="77"/>
  <c r="E30" i="77"/>
  <c r="AY29" i="77"/>
  <c r="AX29" i="77"/>
  <c r="AW29" i="77"/>
  <c r="AV29" i="77"/>
  <c r="AU29" i="77"/>
  <c r="AY28" i="77"/>
  <c r="AX28" i="77"/>
  <c r="AW28" i="77"/>
  <c r="AV28" i="77"/>
  <c r="AU28" i="77"/>
  <c r="E12" i="77"/>
  <c r="E10" i="77"/>
  <c r="E8" i="77"/>
  <c r="E6" i="77"/>
  <c r="E4" i="77"/>
  <c r="E4" i="76"/>
  <c r="D4" i="76"/>
  <c r="C4" i="76"/>
  <c r="B4" i="76"/>
  <c r="E3" i="76"/>
  <c r="D3" i="76"/>
  <c r="C3" i="76"/>
  <c r="B3" i="76"/>
  <c r="E2" i="76"/>
  <c r="D2" i="76"/>
  <c r="C2" i="76"/>
  <c r="B2" i="76"/>
  <c r="F1335" i="3"/>
  <c r="F1324" i="3"/>
  <c r="F1323" i="3"/>
  <c r="F1322" i="3"/>
  <c r="F1321" i="3"/>
  <c r="F1320" i="3"/>
  <c r="F1311" i="3"/>
  <c r="F1310" i="3"/>
  <c r="F1309" i="3"/>
  <c r="F1308" i="3"/>
  <c r="F1307" i="3"/>
  <c r="F1306" i="3"/>
  <c r="F1300" i="3"/>
  <c r="F1299" i="3"/>
  <c r="F1276" i="3"/>
  <c r="F1275" i="3"/>
  <c r="F1274" i="3"/>
  <c r="F1271" i="3"/>
  <c r="F1270" i="3"/>
  <c r="F1269" i="3"/>
  <c r="F1237" i="3"/>
  <c r="F1236" i="3"/>
  <c r="F1235" i="3"/>
  <c r="F1234" i="3"/>
  <c r="F1233" i="3"/>
  <c r="F1230" i="3"/>
  <c r="F1229" i="3"/>
  <c r="F1228" i="3"/>
  <c r="F1227" i="3"/>
  <c r="F1226" i="3"/>
  <c r="F1223" i="3"/>
  <c r="F1222" i="3"/>
  <c r="F1221" i="3"/>
  <c r="F1220" i="3"/>
  <c r="F1219" i="3"/>
  <c r="F1217" i="3"/>
  <c r="F1216" i="3"/>
  <c r="F1215" i="3"/>
  <c r="F1214" i="3"/>
  <c r="F1213" i="3"/>
  <c r="F1212" i="3"/>
  <c r="F1203" i="3"/>
  <c r="F1196" i="3"/>
  <c r="F1190" i="3"/>
  <c r="F1183" i="3"/>
  <c r="F1181" i="3"/>
  <c r="F1179" i="3"/>
  <c r="F1178" i="3"/>
  <c r="F1177" i="3"/>
  <c r="F1175" i="3"/>
  <c r="F1174" i="3"/>
  <c r="F1173" i="3"/>
  <c r="F1170" i="3"/>
  <c r="F1169" i="3"/>
  <c r="F1168" i="3"/>
  <c r="F1165" i="3"/>
  <c r="F1164" i="3"/>
  <c r="F1163" i="3"/>
  <c r="F1160" i="3"/>
  <c r="F1159" i="3"/>
  <c r="F1158" i="3"/>
  <c r="F1153" i="3"/>
  <c r="F1152" i="3"/>
  <c r="F1150" i="3"/>
  <c r="F1148" i="3"/>
  <c r="F1146" i="3"/>
  <c r="F1143" i="3"/>
  <c r="F1142" i="3"/>
  <c r="F1141" i="3"/>
  <c r="F1140" i="3"/>
  <c r="F1139" i="3"/>
  <c r="F1135" i="3"/>
  <c r="F1134" i="3"/>
  <c r="F1133" i="3"/>
  <c r="F1132" i="3"/>
  <c r="F1131" i="3"/>
  <c r="F1127" i="3"/>
  <c r="F1126" i="3"/>
  <c r="F1125" i="3"/>
  <c r="F1124" i="3"/>
  <c r="F1123" i="3"/>
  <c r="F1119" i="3"/>
  <c r="F1118" i="3"/>
  <c r="F1117" i="3"/>
  <c r="F1114" i="3"/>
  <c r="F1113" i="3"/>
  <c r="F1112" i="3"/>
  <c r="F1110" i="3"/>
  <c r="F1109" i="3"/>
  <c r="F1108" i="3"/>
  <c r="F1107" i="3"/>
  <c r="F1106" i="3"/>
  <c r="F1104" i="3"/>
  <c r="F1103" i="3"/>
  <c r="F1101" i="3"/>
  <c r="F1100" i="3"/>
  <c r="F1098" i="3"/>
  <c r="F1097" i="3"/>
  <c r="F1093" i="3"/>
  <c r="F1092" i="3"/>
  <c r="F1089" i="3"/>
  <c r="F1086" i="3"/>
  <c r="F1083" i="3"/>
  <c r="F1082" i="3"/>
  <c r="F1081" i="3"/>
  <c r="F1078" i="3"/>
  <c r="F1077" i="3"/>
  <c r="F1076" i="3"/>
  <c r="F1073" i="3"/>
  <c r="F1072" i="3"/>
  <c r="F1071" i="3"/>
  <c r="F1068" i="3"/>
  <c r="F1067" i="3"/>
  <c r="F1066" i="3"/>
  <c r="F1063" i="3"/>
  <c r="F1062" i="3"/>
  <c r="F1061" i="3"/>
  <c r="F1058" i="3"/>
  <c r="F1057" i="3"/>
  <c r="F1056" i="3"/>
  <c r="F1053" i="3"/>
  <c r="F1052" i="3"/>
  <c r="F1051" i="3"/>
  <c r="F1048" i="3"/>
  <c r="F1047" i="3"/>
  <c r="F1046" i="3"/>
  <c r="F1043" i="3"/>
  <c r="F1042" i="3"/>
  <c r="F1041" i="3"/>
  <c r="F1038" i="3"/>
  <c r="F1037" i="3"/>
  <c r="F1036" i="3"/>
  <c r="F1033" i="3"/>
  <c r="F1032" i="3"/>
  <c r="F1031" i="3"/>
  <c r="F1028" i="3"/>
  <c r="F1027" i="3"/>
  <c r="F1026" i="3"/>
  <c r="F1022" i="3"/>
  <c r="F1021" i="3"/>
  <c r="F1020" i="3"/>
  <c r="F1019" i="3"/>
  <c r="F1016" i="3"/>
  <c r="F1015" i="3"/>
  <c r="F1014" i="3"/>
  <c r="F1013" i="3"/>
  <c r="F1012" i="3"/>
  <c r="F1011" i="3"/>
  <c r="F1010" i="3"/>
  <c r="F1009" i="3"/>
  <c r="F1008" i="3"/>
  <c r="F1005" i="3"/>
  <c r="F1004" i="3"/>
  <c r="F1003" i="3"/>
  <c r="F1002" i="3"/>
  <c r="F1001" i="3"/>
  <c r="F1000" i="3"/>
  <c r="F998" i="3"/>
  <c r="F997" i="3"/>
  <c r="F996" i="3"/>
  <c r="F995" i="3"/>
  <c r="F994" i="3"/>
  <c r="F993" i="3"/>
  <c r="F992" i="3"/>
  <c r="F991" i="3"/>
  <c r="F990" i="3"/>
  <c r="F987" i="3"/>
  <c r="F986" i="3"/>
  <c r="F985" i="3"/>
  <c r="F984" i="3"/>
  <c r="F983" i="3"/>
  <c r="F982" i="3"/>
  <c r="F981" i="3"/>
  <c r="F980" i="3"/>
  <c r="F979" i="3"/>
  <c r="F977" i="3"/>
  <c r="F976" i="3"/>
  <c r="F975" i="3"/>
  <c r="F973" i="3"/>
  <c r="F972" i="3"/>
  <c r="F971" i="3"/>
  <c r="F970" i="3"/>
  <c r="F969" i="3"/>
  <c r="F968" i="3"/>
  <c r="F966" i="3"/>
  <c r="F965" i="3"/>
  <c r="F964" i="3"/>
  <c r="F963" i="3"/>
  <c r="F961" i="3"/>
  <c r="F960" i="3"/>
  <c r="F959" i="3"/>
  <c r="F958" i="3"/>
  <c r="F956" i="3"/>
  <c r="F955" i="3"/>
  <c r="F954" i="3"/>
  <c r="F953" i="3"/>
  <c r="F951" i="3"/>
  <c r="F950" i="3"/>
  <c r="F949" i="3"/>
  <c r="F948" i="3"/>
  <c r="F947" i="3"/>
  <c r="F946" i="3"/>
  <c r="F945" i="3"/>
  <c r="F944" i="3"/>
  <c r="F940" i="3"/>
  <c r="F939" i="3"/>
  <c r="F936" i="3"/>
  <c r="F934" i="3"/>
  <c r="F933" i="3"/>
  <c r="F932" i="3"/>
  <c r="F931" i="3"/>
  <c r="F930" i="3"/>
  <c r="F928" i="3"/>
  <c r="F927" i="3"/>
  <c r="F926" i="3"/>
  <c r="F925" i="3"/>
  <c r="F924" i="3"/>
  <c r="F923" i="3"/>
  <c r="F922" i="3"/>
  <c r="F921" i="3"/>
  <c r="F920" i="3"/>
  <c r="F917" i="3"/>
  <c r="F916" i="3"/>
  <c r="F915" i="3"/>
  <c r="F912" i="3"/>
  <c r="F911" i="3"/>
  <c r="F910" i="3"/>
  <c r="F905" i="3"/>
  <c r="F904" i="3"/>
  <c r="F903" i="3"/>
  <c r="F901" i="3"/>
  <c r="F900" i="3"/>
  <c r="F899" i="3"/>
  <c r="F897" i="3"/>
  <c r="F896" i="3"/>
  <c r="F895" i="3"/>
  <c r="F894" i="3"/>
  <c r="F893" i="3"/>
  <c r="F892" i="3"/>
  <c r="F891" i="3"/>
  <c r="F890" i="3"/>
  <c r="F889" i="3"/>
  <c r="F882" i="3"/>
  <c r="F881" i="3"/>
  <c r="F877" i="3"/>
  <c r="F876" i="3"/>
  <c r="F875" i="3"/>
  <c r="F873" i="3"/>
  <c r="F872" i="3"/>
  <c r="F871" i="3"/>
  <c r="F870" i="3"/>
  <c r="F869" i="3"/>
  <c r="F868" i="3"/>
  <c r="F864" i="3"/>
  <c r="F863" i="3"/>
  <c r="F862" i="3"/>
  <c r="F861" i="3"/>
  <c r="F860" i="3"/>
  <c r="F859" i="3"/>
  <c r="F858" i="3"/>
  <c r="F857" i="3"/>
  <c r="F856" i="3"/>
  <c r="F855" i="3"/>
  <c r="F854" i="3"/>
  <c r="F849" i="3"/>
  <c r="F848" i="3"/>
  <c r="F847" i="3"/>
  <c r="F845" i="3"/>
  <c r="F844" i="3"/>
  <c r="F841" i="3"/>
  <c r="F840" i="3"/>
  <c r="F839" i="3"/>
  <c r="F838" i="3"/>
  <c r="F837" i="3"/>
  <c r="F836" i="3"/>
  <c r="F835" i="3"/>
  <c r="F834" i="3"/>
  <c r="F831" i="3"/>
  <c r="F830" i="3"/>
  <c r="F829" i="3"/>
  <c r="F828" i="3"/>
  <c r="F827" i="3"/>
  <c r="F826" i="3"/>
  <c r="F825" i="3"/>
  <c r="F824" i="3"/>
  <c r="F821" i="3"/>
  <c r="F820" i="3"/>
  <c r="F819" i="3"/>
  <c r="F818" i="3"/>
  <c r="F817" i="3"/>
  <c r="F816" i="3"/>
  <c r="F815" i="3"/>
  <c r="F814" i="3"/>
  <c r="F811" i="3"/>
  <c r="F810" i="3"/>
  <c r="F809" i="3"/>
  <c r="F808" i="3"/>
  <c r="F807" i="3"/>
  <c r="F806" i="3"/>
  <c r="F805" i="3"/>
  <c r="F804" i="3"/>
  <c r="F801" i="3"/>
  <c r="F800" i="3"/>
  <c r="F799" i="3"/>
  <c r="F798" i="3"/>
  <c r="F797" i="3"/>
  <c r="F796" i="3"/>
  <c r="F795" i="3"/>
  <c r="F794" i="3"/>
  <c r="F792" i="3"/>
  <c r="F791" i="3"/>
  <c r="F790" i="3"/>
  <c r="F789" i="3"/>
  <c r="F788" i="3"/>
  <c r="F787" i="3"/>
  <c r="F786" i="3"/>
  <c r="F785" i="3"/>
  <c r="F784" i="3"/>
  <c r="F781" i="3"/>
  <c r="F780" i="3"/>
  <c r="F779" i="3"/>
  <c r="F778" i="3"/>
  <c r="F777" i="3"/>
  <c r="F776" i="3"/>
  <c r="F775" i="3"/>
  <c r="F774" i="3"/>
  <c r="F773" i="3"/>
  <c r="F772" i="3"/>
  <c r="F771" i="3"/>
  <c r="F770" i="3"/>
  <c r="F769" i="3"/>
  <c r="F768" i="3"/>
  <c r="F765" i="3"/>
  <c r="F764" i="3"/>
  <c r="F763" i="3"/>
  <c r="F762" i="3"/>
  <c r="F761" i="3"/>
  <c r="F760" i="3"/>
  <c r="F759" i="3"/>
  <c r="F758" i="3"/>
  <c r="F757" i="3"/>
  <c r="F756" i="3"/>
  <c r="F755" i="3"/>
  <c r="F754" i="3"/>
  <c r="F753" i="3"/>
  <c r="F752" i="3"/>
  <c r="F749" i="3"/>
  <c r="F748" i="3"/>
  <c r="F747" i="3"/>
  <c r="F746" i="3"/>
  <c r="F745" i="3"/>
  <c r="F744" i="3"/>
  <c r="F743" i="3"/>
  <c r="F742" i="3"/>
  <c r="F741" i="3"/>
  <c r="F740" i="3"/>
  <c r="F739" i="3"/>
  <c r="F738" i="3"/>
  <c r="F737" i="3"/>
  <c r="F736" i="3"/>
  <c r="F733" i="3"/>
  <c r="F732" i="3"/>
  <c r="F731" i="3"/>
  <c r="F730" i="3"/>
  <c r="F729" i="3"/>
  <c r="F728" i="3"/>
  <c r="F727" i="3"/>
  <c r="F726" i="3"/>
  <c r="F725" i="3"/>
  <c r="F724" i="3"/>
  <c r="F723" i="3"/>
  <c r="F722" i="3"/>
  <c r="F721" i="3"/>
  <c r="F720" i="3"/>
  <c r="F717" i="3"/>
  <c r="F716" i="3"/>
  <c r="F715" i="3"/>
  <c r="F714" i="3"/>
  <c r="F713" i="3"/>
  <c r="F712" i="3"/>
  <c r="F711" i="3"/>
  <c r="F710" i="3"/>
  <c r="F709" i="3"/>
  <c r="F708" i="3"/>
  <c r="F707" i="3"/>
  <c r="F706" i="3"/>
  <c r="F705" i="3"/>
  <c r="F704" i="3"/>
  <c r="F701" i="3"/>
  <c r="F700" i="3"/>
  <c r="F699" i="3"/>
  <c r="F698" i="3"/>
  <c r="F697" i="3"/>
  <c r="F696" i="3"/>
  <c r="F695" i="3"/>
  <c r="F694" i="3"/>
  <c r="F693" i="3"/>
  <c r="F692" i="3"/>
  <c r="F691" i="3"/>
  <c r="F690" i="3"/>
  <c r="F689" i="3"/>
  <c r="F688" i="3"/>
  <c r="F685" i="3"/>
  <c r="F684" i="3"/>
  <c r="F683" i="3"/>
  <c r="F682" i="3"/>
  <c r="F681" i="3"/>
  <c r="F680" i="3"/>
  <c r="F679" i="3"/>
  <c r="F678" i="3"/>
  <c r="F677" i="3"/>
  <c r="F676" i="3"/>
  <c r="F675" i="3"/>
  <c r="F674" i="3"/>
  <c r="F673" i="3"/>
  <c r="F672" i="3"/>
  <c r="F669" i="3"/>
  <c r="F668" i="3"/>
  <c r="F667" i="3"/>
  <c r="F666" i="3"/>
  <c r="F665" i="3"/>
  <c r="F664" i="3"/>
  <c r="F663" i="3"/>
  <c r="F662" i="3"/>
  <c r="F661" i="3"/>
  <c r="F660" i="3"/>
  <c r="F659" i="3"/>
  <c r="F658" i="3"/>
  <c r="F657" i="3"/>
  <c r="F656" i="3"/>
  <c r="F653" i="3"/>
  <c r="F652" i="3"/>
  <c r="F651" i="3"/>
  <c r="F650" i="3"/>
  <c r="F649" i="3"/>
  <c r="F648" i="3"/>
  <c r="F647" i="3"/>
  <c r="F646" i="3"/>
  <c r="F645" i="3"/>
  <c r="F644" i="3"/>
  <c r="F643" i="3"/>
  <c r="F642" i="3"/>
  <c r="F641" i="3"/>
  <c r="F640" i="3"/>
  <c r="F637" i="3"/>
  <c r="F636" i="3"/>
  <c r="F635" i="3"/>
  <c r="F634" i="3"/>
  <c r="F633" i="3"/>
  <c r="F632" i="3"/>
  <c r="F631" i="3"/>
  <c r="F630" i="3"/>
  <c r="F629" i="3"/>
  <c r="F628" i="3"/>
  <c r="F627" i="3"/>
  <c r="F626" i="3"/>
  <c r="F625" i="3"/>
  <c r="F624" i="3"/>
  <c r="F621" i="3"/>
  <c r="F620" i="3"/>
  <c r="F619" i="3"/>
  <c r="F618" i="3"/>
  <c r="F617" i="3"/>
  <c r="F616" i="3"/>
  <c r="F615" i="3"/>
  <c r="F614" i="3"/>
  <c r="F613" i="3"/>
  <c r="F612" i="3"/>
  <c r="F611" i="3"/>
  <c r="F610" i="3"/>
  <c r="F609" i="3"/>
  <c r="F608" i="3"/>
  <c r="F605" i="3"/>
  <c r="F604" i="3"/>
  <c r="F603" i="3"/>
  <c r="F602" i="3"/>
  <c r="F601" i="3"/>
  <c r="F600" i="3"/>
  <c r="F599" i="3"/>
  <c r="F598" i="3"/>
  <c r="F597" i="3"/>
  <c r="F596" i="3"/>
  <c r="F595" i="3"/>
  <c r="F594" i="3"/>
  <c r="F593" i="3"/>
  <c r="F592" i="3"/>
  <c r="F591" i="3"/>
  <c r="F588" i="3"/>
  <c r="F587" i="3"/>
  <c r="F586" i="3"/>
  <c r="F585" i="3"/>
  <c r="F584" i="3"/>
  <c r="F583" i="3"/>
  <c r="F582" i="3"/>
  <c r="F580" i="3"/>
  <c r="F579" i="3"/>
  <c r="F578" i="3"/>
  <c r="F577" i="3"/>
  <c r="F576" i="3"/>
  <c r="F575" i="3"/>
  <c r="F574" i="3"/>
  <c r="F571" i="3"/>
  <c r="F570" i="3"/>
  <c r="F569" i="3"/>
  <c r="F568" i="3"/>
  <c r="F567" i="3"/>
  <c r="F566" i="3"/>
  <c r="F565" i="3"/>
  <c r="F562" i="3"/>
  <c r="F561" i="3"/>
  <c r="F560" i="3"/>
  <c r="F559" i="3"/>
  <c r="F558" i="3"/>
  <c r="F557" i="3"/>
  <c r="F556" i="3"/>
  <c r="F553" i="3"/>
  <c r="F552" i="3"/>
  <c r="F551" i="3"/>
  <c r="F550" i="3"/>
  <c r="F549" i="3"/>
  <c r="F548" i="3"/>
  <c r="F547" i="3"/>
  <c r="F543" i="3"/>
  <c r="F542" i="3"/>
  <c r="F541" i="3"/>
  <c r="F540" i="3"/>
  <c r="F539" i="3"/>
  <c r="F538" i="3"/>
  <c r="F537" i="3"/>
  <c r="F536" i="3"/>
  <c r="F535" i="3"/>
  <c r="F534" i="3"/>
  <c r="F531" i="3"/>
  <c r="F530" i="3"/>
  <c r="F529" i="3"/>
  <c r="F528" i="3"/>
  <c r="F527" i="3"/>
  <c r="F526" i="3"/>
  <c r="F525" i="3"/>
  <c r="F524" i="3"/>
  <c r="F523" i="3"/>
  <c r="F522" i="3"/>
  <c r="F519" i="3"/>
  <c r="F518" i="3"/>
  <c r="F517" i="3"/>
  <c r="F516" i="3"/>
  <c r="F515" i="3"/>
  <c r="F514" i="3"/>
  <c r="F513" i="3"/>
  <c r="F512" i="3"/>
  <c r="F511" i="3"/>
  <c r="F510" i="3"/>
  <c r="F507" i="3"/>
  <c r="F506" i="3"/>
  <c r="F505" i="3"/>
  <c r="F504" i="3"/>
  <c r="F503" i="3"/>
  <c r="F502" i="3"/>
  <c r="F501" i="3"/>
  <c r="F500" i="3"/>
  <c r="F499" i="3"/>
  <c r="F498" i="3"/>
  <c r="F494" i="3"/>
  <c r="F493" i="3"/>
  <c r="F492" i="3"/>
  <c r="F491" i="3"/>
  <c r="F490" i="3"/>
  <c r="F489" i="3"/>
  <c r="F488" i="3"/>
  <c r="F487" i="3"/>
  <c r="F486" i="3"/>
  <c r="F485" i="3"/>
  <c r="F484" i="3"/>
  <c r="F483" i="3"/>
  <c r="F482" i="3"/>
  <c r="F481" i="3"/>
  <c r="F480" i="3"/>
  <c r="F477" i="3"/>
  <c r="F476" i="3"/>
  <c r="F475" i="3"/>
  <c r="F474" i="3"/>
  <c r="F473" i="3"/>
  <c r="F472" i="3"/>
  <c r="F471" i="3"/>
  <c r="F470" i="3"/>
  <c r="F469" i="3"/>
  <c r="F468" i="3"/>
  <c r="F467" i="3"/>
  <c r="F466" i="3"/>
  <c r="F465" i="3"/>
  <c r="F464" i="3"/>
  <c r="F463" i="3"/>
  <c r="F460" i="3"/>
  <c r="F459" i="3"/>
  <c r="F458" i="3"/>
  <c r="F457" i="3"/>
  <c r="F456" i="3"/>
  <c r="F455" i="3"/>
  <c r="F454" i="3"/>
  <c r="F453" i="3"/>
  <c r="F452" i="3"/>
  <c r="F451" i="3"/>
  <c r="F450" i="3"/>
  <c r="F449" i="3"/>
  <c r="F448" i="3"/>
  <c r="F447" i="3"/>
  <c r="F446" i="3"/>
  <c r="F443" i="3"/>
  <c r="F442" i="3"/>
  <c r="F441" i="3"/>
  <c r="F440" i="3"/>
  <c r="F439" i="3"/>
  <c r="F438" i="3"/>
  <c r="F437" i="3"/>
  <c r="F436" i="3"/>
  <c r="F435" i="3"/>
  <c r="F434" i="3"/>
  <c r="F433" i="3"/>
  <c r="F432" i="3"/>
  <c r="F431" i="3"/>
  <c r="F430" i="3"/>
  <c r="F429" i="3"/>
  <c r="F426" i="3"/>
  <c r="F425" i="3"/>
  <c r="F424" i="3"/>
  <c r="F423" i="3"/>
  <c r="F422" i="3"/>
  <c r="F421" i="3"/>
  <c r="F420" i="3"/>
  <c r="F419" i="3"/>
  <c r="F418" i="3"/>
  <c r="F417" i="3"/>
  <c r="F416" i="3"/>
  <c r="F415" i="3"/>
  <c r="F414" i="3"/>
  <c r="F413" i="3"/>
  <c r="F412" i="3"/>
  <c r="F409" i="3"/>
  <c r="F408" i="3"/>
  <c r="F407" i="3"/>
  <c r="F406" i="3"/>
  <c r="F405" i="3"/>
  <c r="F404" i="3"/>
  <c r="F403" i="3"/>
  <c r="F402" i="3"/>
  <c r="F401" i="3"/>
  <c r="F400" i="3"/>
  <c r="F399" i="3"/>
  <c r="F398" i="3"/>
  <c r="F397" i="3"/>
  <c r="F396" i="3"/>
  <c r="F395" i="3"/>
  <c r="F392" i="3"/>
  <c r="F391" i="3"/>
  <c r="F390" i="3"/>
  <c r="F389" i="3"/>
  <c r="F388" i="3"/>
  <c r="F387" i="3"/>
  <c r="F386" i="3"/>
  <c r="F385" i="3"/>
  <c r="F384" i="3"/>
  <c r="F383" i="3"/>
  <c r="F382" i="3"/>
  <c r="F381" i="3"/>
  <c r="F380" i="3"/>
  <c r="F379" i="3"/>
  <c r="F378" i="3"/>
  <c r="F375" i="3"/>
  <c r="F374" i="3"/>
  <c r="F373" i="3"/>
  <c r="F372" i="3"/>
  <c r="F371" i="3"/>
  <c r="F370" i="3"/>
  <c r="F369" i="3"/>
  <c r="F368" i="3"/>
  <c r="F367" i="3"/>
  <c r="F366" i="3"/>
  <c r="F365" i="3"/>
  <c r="F364" i="3"/>
  <c r="F363" i="3"/>
  <c r="F362" i="3"/>
  <c r="F361" i="3"/>
  <c r="F358" i="3"/>
  <c r="F357" i="3"/>
  <c r="F356" i="3"/>
  <c r="F355" i="3"/>
  <c r="F354" i="3"/>
  <c r="F353" i="3"/>
  <c r="F352" i="3"/>
  <c r="F351" i="3"/>
  <c r="F350" i="3"/>
  <c r="F349" i="3"/>
  <c r="F348" i="3"/>
  <c r="F347" i="3"/>
  <c r="F346" i="3"/>
  <c r="F345" i="3"/>
  <c r="F344" i="3"/>
  <c r="F341" i="3"/>
  <c r="F340" i="3"/>
  <c r="F339" i="3"/>
  <c r="F338" i="3"/>
  <c r="F337" i="3"/>
  <c r="F336" i="3"/>
  <c r="F335" i="3"/>
  <c r="F334" i="3"/>
  <c r="F333" i="3"/>
  <c r="F332" i="3"/>
  <c r="F331" i="3"/>
  <c r="F330" i="3"/>
  <c r="F329" i="3"/>
  <c r="F328" i="3"/>
  <c r="F327" i="3"/>
  <c r="F324" i="3"/>
  <c r="F323" i="3"/>
  <c r="F322" i="3"/>
  <c r="F321" i="3"/>
  <c r="F320" i="3"/>
  <c r="F319" i="3"/>
  <c r="F318" i="3"/>
  <c r="F317" i="3"/>
  <c r="F316" i="3"/>
  <c r="F315" i="3"/>
  <c r="F314" i="3"/>
  <c r="F313" i="3"/>
  <c r="F312" i="3"/>
  <c r="F311" i="3"/>
  <c r="F310" i="3"/>
  <c r="F307" i="3"/>
  <c r="F306" i="3"/>
  <c r="F305" i="3"/>
  <c r="F304" i="3"/>
  <c r="F303" i="3"/>
  <c r="F302" i="3"/>
  <c r="F301" i="3"/>
  <c r="F300" i="3"/>
  <c r="F299" i="3"/>
  <c r="F298" i="3"/>
  <c r="F297" i="3"/>
  <c r="F296" i="3"/>
  <c r="F295" i="3"/>
  <c r="F294" i="3"/>
  <c r="F293" i="3"/>
  <c r="F290" i="3"/>
  <c r="F289" i="3"/>
  <c r="F288" i="3"/>
  <c r="F287" i="3"/>
  <c r="F286" i="3"/>
  <c r="F285" i="3"/>
  <c r="F284" i="3"/>
  <c r="F283" i="3"/>
  <c r="F282" i="3"/>
  <c r="F281" i="3"/>
  <c r="F280" i="3"/>
  <c r="F279" i="3"/>
  <c r="F278" i="3"/>
  <c r="F277" i="3"/>
  <c r="F276" i="3"/>
  <c r="F275" i="3"/>
  <c r="F272" i="3"/>
  <c r="F271" i="3"/>
  <c r="F270" i="3"/>
  <c r="F269" i="3"/>
  <c r="F268" i="3"/>
  <c r="F267" i="3"/>
  <c r="F266" i="3"/>
  <c r="F265" i="3"/>
  <c r="F264" i="3"/>
  <c r="F263" i="3"/>
  <c r="F262" i="3"/>
  <c r="F261" i="3"/>
  <c r="F260" i="3"/>
  <c r="F259" i="3"/>
  <c r="F258" i="3"/>
  <c r="F257" i="3"/>
  <c r="F254" i="3"/>
  <c r="F253" i="3"/>
  <c r="F252" i="3"/>
  <c r="F251" i="3"/>
  <c r="F250" i="3"/>
  <c r="F249" i="3"/>
  <c r="F248" i="3"/>
  <c r="F247" i="3"/>
  <c r="F246" i="3"/>
  <c r="F245" i="3"/>
  <c r="F244" i="3"/>
  <c r="F243" i="3"/>
  <c r="F242" i="3"/>
  <c r="F241" i="3"/>
  <c r="F240" i="3"/>
  <c r="F239" i="3"/>
  <c r="F236" i="3"/>
  <c r="F235" i="3"/>
  <c r="F234" i="3"/>
  <c r="F233" i="3"/>
  <c r="F232" i="3"/>
  <c r="F231" i="3"/>
  <c r="F230" i="3"/>
  <c r="F229" i="3"/>
  <c r="F228" i="3"/>
  <c r="F227" i="3"/>
  <c r="F226" i="3"/>
  <c r="F225" i="3"/>
  <c r="F224" i="3"/>
  <c r="F223" i="3"/>
  <c r="F222" i="3"/>
  <c r="F221" i="3"/>
  <c r="F218" i="3"/>
  <c r="F217" i="3"/>
  <c r="F216" i="3"/>
  <c r="F215" i="3"/>
  <c r="F214" i="3"/>
  <c r="F213" i="3"/>
  <c r="F212" i="3"/>
  <c r="F211" i="3"/>
  <c r="F210" i="3"/>
  <c r="F209" i="3"/>
  <c r="F208" i="3"/>
  <c r="F207" i="3"/>
  <c r="F206" i="3"/>
  <c r="F205" i="3"/>
  <c r="F204" i="3"/>
  <c r="F203" i="3"/>
  <c r="F200" i="3"/>
  <c r="F199" i="3"/>
  <c r="F198" i="3"/>
  <c r="F197" i="3"/>
  <c r="F196" i="3"/>
  <c r="F195" i="3"/>
  <c r="F194" i="3"/>
  <c r="F193" i="3"/>
  <c r="F192" i="3"/>
  <c r="F189" i="3"/>
  <c r="F188" i="3"/>
  <c r="F187" i="3"/>
  <c r="F186" i="3"/>
  <c r="F185" i="3"/>
  <c r="F184" i="3"/>
  <c r="F183" i="3"/>
  <c r="F182" i="3"/>
  <c r="F181" i="3"/>
  <c r="F178" i="3"/>
  <c r="F177" i="3"/>
  <c r="F176" i="3"/>
  <c r="F175" i="3"/>
  <c r="F174" i="3"/>
  <c r="F173" i="3"/>
  <c r="F172" i="3"/>
  <c r="F171" i="3"/>
  <c r="F170" i="3"/>
  <c r="F167" i="3"/>
  <c r="F166" i="3"/>
  <c r="F165" i="3"/>
  <c r="F164" i="3"/>
  <c r="F163" i="3"/>
  <c r="F162" i="3"/>
  <c r="F161" i="3"/>
  <c r="F160" i="3"/>
  <c r="F159" i="3"/>
  <c r="F158" i="3"/>
  <c r="F155" i="3"/>
  <c r="F154" i="3"/>
  <c r="F153" i="3"/>
  <c r="F152" i="3"/>
  <c r="F151" i="3"/>
  <c r="F150" i="3"/>
  <c r="F149" i="3"/>
  <c r="F148" i="3"/>
  <c r="F147" i="3"/>
  <c r="F146" i="3"/>
  <c r="F143" i="3"/>
  <c r="F142" i="3"/>
  <c r="F141" i="3"/>
  <c r="F140" i="3"/>
  <c r="F139" i="3"/>
  <c r="F138" i="3"/>
  <c r="F137" i="3"/>
  <c r="F136" i="3"/>
  <c r="F135" i="3"/>
  <c r="F134" i="3"/>
  <c r="F131" i="3"/>
  <c r="F130" i="3"/>
  <c r="F129" i="3"/>
  <c r="F128" i="3"/>
  <c r="F127" i="3"/>
  <c r="F126" i="3"/>
  <c r="F125" i="3"/>
  <c r="F124" i="3"/>
  <c r="F123" i="3"/>
  <c r="F122" i="3"/>
  <c r="F121" i="3"/>
  <c r="F118" i="3"/>
  <c r="F117" i="3"/>
  <c r="F116" i="3"/>
  <c r="F115" i="3"/>
  <c r="F114" i="3"/>
  <c r="F113" i="3"/>
  <c r="F112" i="3"/>
  <c r="F111" i="3"/>
  <c r="F110" i="3"/>
  <c r="F109" i="3"/>
  <c r="F108" i="3"/>
  <c r="F107" i="3"/>
  <c r="F104" i="3"/>
  <c r="F103" i="3"/>
  <c r="F102" i="3"/>
  <c r="F101" i="3"/>
  <c r="F100" i="3"/>
  <c r="F99" i="3"/>
  <c r="F98" i="3"/>
  <c r="F97" i="3"/>
  <c r="F96" i="3"/>
  <c r="F95" i="3"/>
  <c r="F94" i="3"/>
  <c r="F93" i="3"/>
  <c r="F92" i="3"/>
  <c r="F91" i="3"/>
  <c r="F90" i="3"/>
  <c r="F89" i="3"/>
  <c r="F86" i="3"/>
  <c r="F85" i="3"/>
  <c r="F84" i="3"/>
  <c r="F83" i="3"/>
  <c r="F81" i="3"/>
  <c r="F80" i="3"/>
  <c r="F79" i="3"/>
  <c r="F77" i="3"/>
  <c r="F75" i="3"/>
  <c r="F73" i="3"/>
  <c r="F71" i="3"/>
  <c r="F68" i="3"/>
  <c r="F65" i="3"/>
  <c r="F58" i="3"/>
  <c r="F57" i="3"/>
  <c r="F56" i="3"/>
  <c r="F55" i="3"/>
  <c r="F53" i="3"/>
  <c r="F51" i="3"/>
  <c r="F50" i="3"/>
  <c r="F49" i="3"/>
  <c r="F48" i="3"/>
  <c r="F45" i="3"/>
  <c r="F43" i="3"/>
  <c r="F41" i="3"/>
  <c r="F40" i="3"/>
  <c r="F38" i="3"/>
  <c r="F36" i="3"/>
  <c r="F33" i="3"/>
  <c r="F32" i="3"/>
  <c r="F24" i="3"/>
  <c r="F1258" i="3" s="1"/>
  <c r="F20" i="3"/>
  <c r="F19" i="3"/>
  <c r="F18" i="3"/>
  <c r="F17" i="3"/>
  <c r="AW27" i="77" s="1"/>
  <c r="F13" i="3"/>
  <c r="F16" i="3" s="1"/>
  <c r="F12" i="3"/>
  <c r="F11" i="3"/>
  <c r="F9" i="3"/>
  <c r="F7" i="3"/>
  <c r="D18" i="75"/>
  <c r="C18" i="75" s="1"/>
  <c r="B18" i="75" s="1"/>
  <c r="E35" i="1"/>
  <c r="D35" i="1"/>
  <c r="B35" i="1"/>
  <c r="E34" i="1"/>
  <c r="D34" i="1"/>
  <c r="B34" i="1"/>
  <c r="E33" i="1"/>
  <c r="D33" i="1"/>
  <c r="B33" i="1"/>
  <c r="E32" i="1"/>
  <c r="D32" i="1"/>
  <c r="B32" i="1"/>
  <c r="E31" i="1"/>
  <c r="D31" i="1"/>
  <c r="B31" i="1"/>
  <c r="E30" i="1"/>
  <c r="D30" i="1"/>
  <c r="B30" i="1"/>
  <c r="E29" i="1"/>
  <c r="E28" i="1"/>
  <c r="E27" i="1"/>
  <c r="E26" i="1"/>
  <c r="E25" i="1"/>
  <c r="E24" i="1"/>
  <c r="E23" i="1"/>
  <c r="E22" i="1"/>
  <c r="E21" i="1"/>
  <c r="E20" i="1"/>
  <c r="F19" i="1"/>
  <c r="E19" i="1"/>
  <c r="D19" i="1"/>
  <c r="B19" i="1"/>
  <c r="E18" i="1"/>
  <c r="E17" i="1"/>
  <c r="E16" i="1"/>
  <c r="D16" i="1"/>
  <c r="B16" i="1"/>
  <c r="E15" i="1"/>
  <c r="E14" i="1"/>
  <c r="D14" i="1"/>
  <c r="E13" i="1"/>
  <c r="D13" i="1"/>
  <c r="B13" i="1"/>
  <c r="E12" i="1"/>
  <c r="O2" i="1"/>
  <c r="N2" i="1"/>
  <c r="M2" i="1"/>
  <c r="L2" i="1"/>
  <c r="K2" i="1"/>
  <c r="J2" i="1"/>
  <c r="I2" i="1"/>
  <c r="H2" i="1"/>
  <c r="G2" i="1"/>
  <c r="AN4" i="86" l="1"/>
  <c r="AN5" i="86"/>
  <c r="AN7" i="86"/>
  <c r="F23" i="1"/>
  <c r="D23" i="1" s="1"/>
  <c r="B23" i="1" s="1"/>
  <c r="F24" i="1"/>
  <c r="D24" i="1" s="1"/>
  <c r="B24" i="1" s="1"/>
  <c r="F62" i="3"/>
  <c r="AM7" i="85"/>
  <c r="F17" i="1"/>
  <c r="D17" i="1" s="1"/>
  <c r="B17" i="1" s="1"/>
  <c r="F18" i="1"/>
  <c r="D18" i="1" s="1"/>
  <c r="B18" i="1" s="1"/>
  <c r="AN13" i="86"/>
  <c r="A20" i="79"/>
  <c r="F21" i="1"/>
  <c r="D21" i="1" s="1"/>
  <c r="B21" i="1" s="1"/>
  <c r="AM4" i="85"/>
  <c r="F29" i="79"/>
  <c r="F22" i="1"/>
  <c r="D22" i="1" s="1"/>
  <c r="B22" i="1" s="1"/>
  <c r="AX27" i="77"/>
  <c r="F15" i="1"/>
  <c r="D15" i="1" s="1"/>
  <c r="B15" i="1" s="1"/>
  <c r="AY27" i="77"/>
  <c r="H18" i="75"/>
  <c r="G18" i="75"/>
  <c r="F18" i="75"/>
  <c r="E18" i="75"/>
  <c r="F25" i="3"/>
  <c r="F1198" i="3"/>
  <c r="F29" i="3"/>
  <c r="F1201" i="3"/>
  <c r="F30" i="3"/>
  <c r="F1204" i="3"/>
  <c r="E18" i="77"/>
  <c r="F14" i="3"/>
  <c r="E19" i="77"/>
  <c r="AM6" i="85"/>
  <c r="F25" i="1"/>
  <c r="D25" i="1" s="1"/>
  <c r="B25" i="1" s="1"/>
  <c r="F15" i="3"/>
  <c r="F1254" i="3"/>
  <c r="E20" i="77"/>
  <c r="F1255" i="3"/>
  <c r="E27" i="77"/>
  <c r="F63" i="3"/>
  <c r="F1205" i="3"/>
  <c r="F1256" i="3"/>
  <c r="F1303" i="3"/>
  <c r="F27" i="3"/>
  <c r="F1241" i="3"/>
  <c r="F1208" i="3"/>
  <c r="F1243" i="3"/>
  <c r="F1244" i="3"/>
  <c r="AM5" i="85"/>
  <c r="F60" i="3"/>
  <c r="F26" i="3"/>
  <c r="F28" i="3"/>
  <c r="F1240" i="3"/>
  <c r="F1206" i="3"/>
  <c r="F1242" i="3"/>
  <c r="F1257" i="3"/>
  <c r="AV27" i="77"/>
  <c r="AU27" i="77" s="1"/>
  <c r="F20" i="1"/>
  <c r="D20" i="1" s="1"/>
  <c r="B20" i="1" s="1"/>
  <c r="F26" i="1"/>
  <c r="D26" i="1" s="1"/>
  <c r="B26" i="1" s="1"/>
  <c r="F29" i="1" l="1"/>
  <c r="F28" i="1" s="1"/>
  <c r="D28" i="1" s="1"/>
  <c r="B28" i="1" s="1"/>
  <c r="R13" i="70"/>
  <c r="J17" i="74"/>
  <c r="N29" i="79"/>
  <c r="J17" i="73"/>
  <c r="O13" i="69"/>
  <c r="F1332" i="3"/>
  <c r="F1317" i="3"/>
  <c r="F1315" i="3"/>
  <c r="F1314" i="3"/>
  <c r="F1331" i="3"/>
  <c r="F1316" i="3"/>
  <c r="F1330" i="3"/>
  <c r="F1329" i="3"/>
  <c r="F1328" i="3"/>
  <c r="F1313" i="3"/>
  <c r="H13" i="69"/>
  <c r="M18" i="73"/>
  <c r="O27" i="79"/>
  <c r="J27" i="79"/>
  <c r="J18" i="74"/>
  <c r="O13" i="70"/>
  <c r="O18" i="73"/>
  <c r="O18" i="74"/>
  <c r="M18" i="74"/>
  <c r="M13" i="70"/>
  <c r="J13" i="70"/>
  <c r="M13" i="69"/>
  <c r="K13" i="69"/>
  <c r="J18" i="73"/>
  <c r="M27" i="79"/>
  <c r="F1249" i="3"/>
  <c r="F1262" i="3"/>
  <c r="F1261" i="3"/>
  <c r="F1247" i="3"/>
  <c r="F1265" i="3"/>
  <c r="F1263" i="3"/>
  <c r="F1248" i="3"/>
  <c r="F1264" i="3"/>
  <c r="F1251" i="3"/>
  <c r="F1250" i="3"/>
  <c r="C6" i="84"/>
  <c r="C6" i="73"/>
  <c r="A6" i="69"/>
  <c r="C6" i="72"/>
  <c r="B5" i="70"/>
  <c r="AI133" i="78"/>
  <c r="C6" i="74"/>
  <c r="A10" i="79"/>
  <c r="F1281" i="3"/>
  <c r="F1280" i="3"/>
  <c r="F1291" i="3"/>
  <c r="F1290" i="3"/>
  <c r="F1289" i="3"/>
  <c r="F1279" i="3"/>
  <c r="D6" i="70"/>
  <c r="C7" i="84"/>
  <c r="C7" i="72"/>
  <c r="B12" i="79"/>
  <c r="B7" i="69"/>
  <c r="C7" i="73"/>
  <c r="AR135" i="78"/>
  <c r="C7" i="74"/>
  <c r="B4" i="81"/>
  <c r="E38" i="77"/>
  <c r="E36" i="77"/>
  <c r="E34" i="77"/>
  <c r="E40" i="77"/>
  <c r="A1" i="85"/>
  <c r="F1296" i="3"/>
  <c r="F1286" i="3"/>
  <c r="F1284" i="3"/>
  <c r="F1295" i="3"/>
  <c r="F1285" i="3"/>
  <c r="F1294" i="3"/>
  <c r="F27" i="1" l="1"/>
  <c r="D27" i="1" s="1"/>
  <c r="B27" i="1" s="1"/>
  <c r="F12" i="1"/>
  <c r="D12" i="1" s="1"/>
  <c r="B12" i="1" s="1"/>
  <c r="D29" i="1"/>
  <c r="B29" i="1" s="1"/>
</calcChain>
</file>

<file path=xl/comments1.xml><?xml version="1.0" encoding="utf-8"?>
<comments xmlns="http://schemas.openxmlformats.org/spreadsheetml/2006/main">
  <authors>
    <author>t-hori</author>
  </authors>
  <commentList>
    <comment ref="R62" authorId="0" shapeId="0">
      <text>
        <r>
          <rPr>
            <b/>
            <sz val="9"/>
            <color indexed="81"/>
            <rFont val="ＭＳ Ｐゴシック"/>
            <family val="3"/>
            <charset val="128"/>
          </rPr>
          <t>左側のプルダウンを選択すると
自動的に区分内容が表示されます</t>
        </r>
      </text>
    </comment>
    <comment ref="R113" authorId="0" shapeId="0">
      <text>
        <r>
          <rPr>
            <b/>
            <sz val="9"/>
            <color indexed="81"/>
            <rFont val="ＭＳ Ｐゴシック"/>
            <family val="3"/>
            <charset val="128"/>
          </rPr>
          <t>左側のプルダウンを選択すると
自動的に区分内容が表示されます</t>
        </r>
      </text>
    </comment>
  </commentList>
</comments>
</file>

<file path=xl/sharedStrings.xml><?xml version="1.0" encoding="utf-8"?>
<sst xmlns="http://schemas.openxmlformats.org/spreadsheetml/2006/main" count="5187" uniqueCount="3293">
  <si>
    <t>記</t>
  </si>
  <si>
    <t>月</t>
  </si>
  <si>
    <t>その他</t>
  </si>
  <si>
    <t>（</t>
  </si>
  <si>
    <t>）</t>
  </si>
  <si>
    <t>第四十号様式（第八条関係）（Ａ４）</t>
  </si>
  <si>
    <t>建築基準法第15条第1項の規定による</t>
  </si>
  <si>
    <t>建 築 工 事 届</t>
  </si>
  <si>
    <t>（第一面）</t>
  </si>
  <si>
    <t>知事　様</t>
  </si>
  <si>
    <t>建築主</t>
  </si>
  <si>
    <t>氏名</t>
  </si>
  <si>
    <t>郵便番号</t>
  </si>
  <si>
    <t>住所</t>
  </si>
  <si>
    <t>電話番号</t>
  </si>
  <si>
    <t>工事施工者（設計者又は代理者）</t>
  </si>
  <si>
    <t>営業所名（建築士事務所名）</t>
  </si>
  <si>
    <t>所在地</t>
  </si>
  <si>
    <t>工事監理者</t>
  </si>
  <si>
    <t>建築確認</t>
  </si>
  <si>
    <t>確認済証番号</t>
  </si>
  <si>
    <t>確認済証交付年月日</t>
  </si>
  <si>
    <t>確認済証交付者</t>
  </si>
  <si>
    <t>除却工事施工者</t>
  </si>
  <si>
    <t>営業所名</t>
  </si>
  <si>
    <t>※受付経由機関記載欄</t>
  </si>
  <si>
    <t>（第二面）</t>
  </si>
  <si>
    <t>(1) 国</t>
  </si>
  <si>
    <t>(2) 都道府県</t>
  </si>
  <si>
    <t>(3) 市区町村</t>
  </si>
  <si>
    <t>(4) 会社</t>
  </si>
  <si>
    <t>(5) 会社でない団体</t>
  </si>
  <si>
    <t>(6) 個人</t>
  </si>
  <si>
    <t>【イ.地名地番】</t>
  </si>
  <si>
    <t>【ロ.都市計画】</t>
  </si>
  <si>
    <t>(1) 市街化区域</t>
  </si>
  <si>
    <t>(2) 市街化調整区域</t>
  </si>
  <si>
    <t>(3) 区域区分非設定都市計画区域</t>
  </si>
  <si>
    <t>(4) 準都市計画区域</t>
  </si>
  <si>
    <t>(5) 都市計画区域及び準都市計画区域外</t>
  </si>
  <si>
    <t>【4.工事種別】</t>
  </si>
  <si>
    <t>(1) 新築</t>
  </si>
  <si>
    <t>(2) 増築</t>
  </si>
  <si>
    <t>(3) 改築</t>
  </si>
  <si>
    <t>(4) 移転</t>
  </si>
  <si>
    <t>【5.主要用途】</t>
  </si>
  <si>
    <t>(1) 居住専用建築物</t>
  </si>
  <si>
    <t>(2) 居住産業併用建築物</t>
  </si>
  <si>
    <t>(3) 産業専用建築物</t>
  </si>
  <si>
    <t>【6.一の建築物ごとの内容】</t>
  </si>
  <si>
    <t>【イ.番号】</t>
  </si>
  <si>
    <t>)</t>
  </si>
  <si>
    <t>【ロ.用途】</t>
  </si>
  <si>
    <t>(1)</t>
  </si>
  <si>
    <t>事務所等</t>
  </si>
  <si>
    <t>(2)</t>
  </si>
  <si>
    <t>物品販売業を営</t>
  </si>
  <si>
    <t>む店舗等</t>
  </si>
  <si>
    <t>(3)</t>
  </si>
  <si>
    <t>工場、作業場</t>
  </si>
  <si>
    <t>(4)</t>
  </si>
  <si>
    <t>倉庫</t>
  </si>
  <si>
    <t>(5)</t>
  </si>
  <si>
    <t>学校</t>
  </si>
  <si>
    <t>(6)</t>
  </si>
  <si>
    <t>病院、診療所</t>
  </si>
  <si>
    <t>(9)</t>
  </si>
  <si>
    <t>【ハ.工事部分の構造】</t>
  </si>
  <si>
    <t>木造</t>
  </si>
  <si>
    <t>鉄骨鉄筋コンク</t>
  </si>
  <si>
    <t>リート造</t>
  </si>
  <si>
    <t>鉄筋コンクリー</t>
  </si>
  <si>
    <t>ト造</t>
  </si>
  <si>
    <t>鉄骨造</t>
  </si>
  <si>
    <t>コンクリートブ</t>
  </si>
  <si>
    <t>ロック造</t>
  </si>
  <si>
    <t>　床面積の合計】</t>
  </si>
  <si>
    <t>万円)</t>
  </si>
  <si>
    <t>【７．新築工事の場合における敷地面積】</t>
  </si>
  <si>
    <t>（第三面）</t>
  </si>
  <si>
    <t>【1.住宅部分の概要】</t>
  </si>
  <si>
    <t>(1) 在来工法</t>
  </si>
  <si>
    <t>(2) プレハブ工法</t>
  </si>
  <si>
    <t>(3) 枠組壁工法</t>
  </si>
  <si>
    <t>(1) 専用住宅</t>
  </si>
  <si>
    <t>(1)一戸建住宅</t>
  </si>
  <si>
    <t>(2)長屋建住宅</t>
  </si>
  <si>
    <t>(2) 併用住宅</t>
  </si>
  <si>
    <t>(3) その他の住宅</t>
  </si>
  <si>
    <t>(1)持家</t>
  </si>
  <si>
    <t xml:space="preserve">)( </t>
  </si>
  <si>
    <t>(2)貸家</t>
  </si>
  <si>
    <t>(3)給与住宅</t>
  </si>
  <si>
    <t>(4)分譲住宅</t>
  </si>
  <si>
    <t xml:space="preserve"> 床面積の合計】</t>
  </si>
  <si>
    <t>（第四面）</t>
  </si>
  <si>
    <t>【1.主要用途】</t>
  </si>
  <si>
    <t>(1) 老朽して危険があるため</t>
  </si>
  <si>
    <t>(2) その他</t>
  </si>
  <si>
    <t>(1) 木造</t>
  </si>
  <si>
    <t>【4.建築物の数】</t>
  </si>
  <si>
    <t>【5.住宅の戸数】</t>
  </si>
  <si>
    <t>戸</t>
  </si>
  <si>
    <t>【6.住宅の利用関係】</t>
  </si>
  <si>
    <t>(1) 持家</t>
  </si>
  <si>
    <t>(2) 貸家</t>
  </si>
  <si>
    <t>(3) 給与住宅</t>
  </si>
  <si>
    <t>【7.建築物の床面積の合計】</t>
  </si>
  <si>
    <t>㎡</t>
  </si>
  <si>
    <t>【8.建築物の評価額】</t>
  </si>
  <si>
    <t>千円</t>
  </si>
  <si>
    <t>出力シート名</t>
  </si>
  <si>
    <t>**_output_sheetname</t>
  </si>
  <si>
    <t>cst__output_sheetname</t>
  </si>
  <si>
    <t>タイトル</t>
  </si>
  <si>
    <t>**_output_title</t>
  </si>
  <si>
    <t>cst__output_title</t>
  </si>
  <si>
    <t>建築工事届</t>
  </si>
  <si>
    <t>第三面</t>
  </si>
  <si>
    <t>役職</t>
  </si>
  <si>
    <t>会社名</t>
  </si>
  <si>
    <t>事務所 資格</t>
  </si>
  <si>
    <t>事務所名</t>
  </si>
  <si>
    <t>主要用途</t>
  </si>
  <si>
    <t>フリガナ</t>
  </si>
  <si>
    <t>引受番号</t>
  </si>
  <si>
    <t>引受日</t>
  </si>
  <si>
    <t>確認済証交付日</t>
  </si>
  <si>
    <t>代理者</t>
  </si>
  <si>
    <t>施工者</t>
  </si>
  <si>
    <t>備考（建築物名称）</t>
  </si>
  <si>
    <t>第四面</t>
  </si>
  <si>
    <t>内外の別</t>
  </si>
  <si>
    <t>工事種別</t>
  </si>
  <si>
    <t>階数－地上</t>
  </si>
  <si>
    <t>階数－地下</t>
  </si>
  <si>
    <t>構造</t>
  </si>
  <si>
    <t>構造の一部</t>
  </si>
  <si>
    <t>高さ－最高の高さ</t>
  </si>
  <si>
    <t>高さ－最高の軒の高さ</t>
  </si>
  <si>
    <t>一戸建ての住宅</t>
  </si>
  <si>
    <t>項目名</t>
  </si>
  <si>
    <t>セル名</t>
  </si>
  <si>
    <t>データ</t>
  </si>
  <si>
    <t>Customセル名</t>
  </si>
  <si>
    <t>Customデータ</t>
  </si>
  <si>
    <t>**wsjob_TARGET_KIND__label</t>
  </si>
  <si>
    <t>**shinsei_UKETUKE_NO</t>
  </si>
  <si>
    <t>**shinsei_HIKIUKE_DATE</t>
  </si>
  <si>
    <t>**shinsei_ISSUE_NO</t>
  </si>
  <si>
    <t>**wskakunin_owner1_NAME</t>
  </si>
  <si>
    <t>**wskakunin_owner1_NAME_KANA</t>
  </si>
  <si>
    <t>**wskakunin_owner1_ZIP</t>
  </si>
  <si>
    <t>**wskakunin_owner1__address</t>
  </si>
  <si>
    <t>**wskakunin_owner1_TEL</t>
  </si>
  <si>
    <t>**wskakunin_dairi1_NAME</t>
  </si>
  <si>
    <t>**wskakunin_dairi1_NAME_KANA</t>
  </si>
  <si>
    <t>**wskakunin_dairi1_JIMU_NAME</t>
  </si>
  <si>
    <t>**wskakunin_dairi1_ZIP</t>
  </si>
  <si>
    <t>**wskakunin_dairi1__address</t>
  </si>
  <si>
    <t>**wskakunin_dairi1_TEL</t>
  </si>
  <si>
    <t>**wskakunin_sekkei1__sikaku</t>
  </si>
  <si>
    <t>**wskakunin_sekkei1_NAME</t>
  </si>
  <si>
    <t>**wskakunin_sekkei1_JIMU_NAME</t>
  </si>
  <si>
    <t>**wskakunin_sekkei1_ZIP</t>
  </si>
  <si>
    <t>cst_shinsei_UKETUKE_NO</t>
  </si>
  <si>
    <t>cst_shinsei_HIKIUKE_DATE</t>
  </si>
  <si>
    <t>cst_shinsei_ISSUE_DATE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</si>
  <si>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</si>
  <si>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</si>
  <si>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</si>
  <si>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</si>
  <si>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</si>
  <si>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</si>
  <si>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</si>
  <si>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</si>
  <si>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</si>
  <si>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</si>
  <si>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会社名&lt;改行&gt;
役職&lt;スペース&gt;氏名</t>
  </si>
  <si>
    <t>役職&lt;スペース&gt;氏名</t>
  </si>
  <si>
    <t>会社名&lt;スペース&gt;役職&lt;スペース&gt;氏名</t>
  </si>
  <si>
    <t>会社名&lt;スペース&gt;氏名</t>
  </si>
  <si>
    <t>会社名フリガナ</t>
  </si>
  <si>
    <t>役職フリガナ</t>
  </si>
  <si>
    <t>氏名フリガナ</t>
  </si>
  <si>
    <t>会社名フリガナ&lt;スペース&gt;役職フリガナ&lt;スペース&gt;氏名フリガナ</t>
  </si>
  <si>
    <t>cst_wskakunin_dairi1_JIMU_NAME</t>
  </si>
  <si>
    <t>cst_wskakunin_dairi1_ZIP</t>
  </si>
  <si>
    <t>cst_wskakunin_dairi1__address</t>
  </si>
  <si>
    <t>cst_wskakunin_dairi1_TEL</t>
  </si>
  <si>
    <t>cst_wskakunin_sekkei1_NAME</t>
  </si>
  <si>
    <t>cst_wskakunin_sekkei1_JIMU__sikaku</t>
  </si>
  <si>
    <t>cst_wskakunin_sekkei1_JIMU_NAME</t>
  </si>
  <si>
    <t>cst_wskakunin_sekkei1_ZIP</t>
  </si>
  <si>
    <t>cst_wsjob_TARGET_KIND__label</t>
  </si>
  <si>
    <t>cst_shinsei_ISSUE_NO</t>
  </si>
  <si>
    <t>cst_wskakunin_owner1__space</t>
  </si>
  <si>
    <t>cst_wskakunin_owner1__space2</t>
  </si>
  <si>
    <t>cst_wskakunin_dairi1__space</t>
  </si>
  <si>
    <t>申請書</t>
  </si>
  <si>
    <t>容積率</t>
  </si>
  <si>
    <t>建ぺい率</t>
  </si>
  <si>
    <t>工事届</t>
  </si>
  <si>
    <t>一級</t>
  </si>
  <si>
    <t>二級</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</si>
  <si>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</si>
  <si>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</si>
  <si>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</si>
  <si>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</si>
  <si>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</si>
  <si>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</si>
  <si>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</si>
  <si>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</si>
  <si>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</si>
  <si>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</si>
  <si>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</si>
  <si>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</si>
  <si>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</si>
  <si>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</si>
  <si>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</si>
  <si>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</si>
  <si>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</si>
  <si>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</si>
  <si>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</si>
  <si>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</si>
  <si>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</si>
  <si>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</si>
  <si>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</si>
  <si>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</si>
  <si>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</si>
  <si>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</si>
  <si>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</si>
  <si>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</si>
  <si>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</si>
  <si>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</si>
  <si>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</si>
  <si>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</si>
  <si>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</si>
  <si>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</si>
  <si>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</si>
  <si>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</si>
  <si>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</si>
  <si>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</si>
  <si>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</si>
  <si>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</si>
  <si>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</si>
  <si>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</si>
  <si>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</si>
  <si>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</si>
  <si>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</si>
  <si>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</si>
  <si>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</si>
  <si>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</si>
  <si>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</si>
  <si>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</si>
  <si>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</si>
  <si>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</si>
  <si>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</si>
  <si>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</si>
  <si>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</si>
  <si>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</si>
  <si>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</si>
  <si>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</si>
  <si>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</si>
  <si>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</si>
  <si>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</si>
  <si>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</si>
  <si>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</si>
  <si>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</si>
  <si>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</si>
  <si>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</si>
  <si>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</si>
  <si>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</si>
  <si>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</si>
  <si>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</si>
  <si>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</si>
  <si>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</si>
  <si>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</si>
  <si>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</si>
  <si>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</si>
  <si>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</si>
  <si>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</si>
  <si>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</si>
  <si>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</si>
  <si>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</si>
  <si>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</si>
  <si>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</si>
  <si>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</si>
  <si>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</si>
  <si>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</si>
  <si>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</si>
  <si>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</si>
  <si>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</si>
  <si>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</si>
  <si>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</si>
  <si>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</si>
  <si>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</si>
  <si>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</si>
  <si>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</si>
  <si>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</si>
  <si>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</si>
  <si>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</si>
  <si>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</si>
  <si>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</si>
  <si>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</si>
  <si>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</si>
  <si>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</si>
  <si>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</si>
  <si>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</si>
  <si>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</si>
  <si>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</si>
  <si>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</si>
  <si>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</si>
  <si>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</si>
  <si>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</si>
  <si>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</si>
  <si>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</si>
  <si>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</si>
  <si>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</si>
  <si>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</si>
  <si>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</si>
  <si>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</si>
  <si>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</si>
  <si>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</si>
  <si>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</si>
  <si>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</si>
  <si>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</si>
  <si>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</si>
  <si>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</si>
  <si>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</si>
  <si>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</si>
  <si>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</si>
  <si>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</si>
  <si>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</si>
  <si>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</si>
  <si>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</si>
  <si>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</si>
  <si>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</si>
  <si>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</si>
  <si>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</si>
  <si>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</si>
  <si>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</si>
  <si>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</si>
  <si>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</si>
  <si>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</si>
  <si>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</si>
  <si>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</si>
  <si>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</si>
  <si>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</si>
  <si>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</si>
  <si>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</si>
  <si>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</si>
  <si>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</si>
  <si>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</si>
  <si>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</si>
  <si>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</si>
  <si>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</si>
  <si>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</si>
  <si>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</si>
  <si>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</si>
  <si>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</si>
  <si>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</si>
  <si>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</si>
  <si>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</si>
  <si>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</si>
  <si>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</si>
  <si>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</si>
  <si>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</si>
  <si>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</si>
  <si>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</si>
  <si>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</si>
  <si>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</si>
  <si>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</si>
  <si>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</si>
  <si>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</si>
  <si>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</si>
  <si>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</si>
  <si>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</si>
  <si>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</si>
  <si>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</si>
  <si>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</si>
  <si>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</si>
  <si>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</si>
  <si>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</si>
  <si>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</si>
  <si>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</si>
  <si>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</si>
  <si>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</si>
  <si>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</si>
  <si>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</si>
  <si>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</si>
  <si>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</si>
  <si>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</si>
  <si>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</si>
  <si>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</si>
  <si>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</si>
  <si>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</si>
  <si>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</si>
  <si>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</si>
  <si>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</si>
  <si>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</si>
  <si>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</si>
  <si>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</si>
  <si>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</si>
  <si>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</si>
  <si>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</si>
  <si>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</si>
  <si>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</si>
  <si>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</si>
  <si>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</si>
  <si>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</si>
  <si>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</si>
  <si>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</si>
  <si>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</si>
  <si>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</si>
  <si>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</si>
  <si>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</si>
  <si>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</si>
  <si>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</si>
  <si>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</si>
  <si>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</si>
  <si>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</si>
  <si>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</si>
  <si>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</si>
  <si>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</si>
  <si>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</si>
  <si>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</si>
  <si>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</si>
  <si>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</si>
  <si>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</si>
  <si>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</si>
  <si>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</si>
  <si>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</si>
  <si>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</si>
  <si>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</si>
  <si>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</si>
  <si>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</si>
  <si>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</si>
  <si>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</si>
  <si>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</si>
  <si>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</si>
  <si>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</si>
  <si>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</si>
  <si>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</si>
  <si>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</si>
  <si>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</si>
  <si>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</si>
  <si>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</si>
  <si>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</si>
  <si>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都市計画区域内</t>
  </si>
  <si>
    <t>準都市計画区域内</t>
  </si>
  <si>
    <t>都市計画区域及び準都市計画区域内準都市計画区域外</t>
  </si>
  <si>
    <t>区域内の分類</t>
  </si>
  <si>
    <t>市街化区域</t>
  </si>
  <si>
    <t>市街化調整区域</t>
  </si>
  <si>
    <t>区域区分非設定</t>
  </si>
  <si>
    <t>防火地域</t>
  </si>
  <si>
    <t>準防火地域</t>
  </si>
  <si>
    <t>法第22条区域</t>
  </si>
  <si>
    <t>新築</t>
  </si>
  <si>
    <t>増築</t>
  </si>
  <si>
    <t>改築</t>
  </si>
  <si>
    <t>移転</t>
  </si>
  <si>
    <t>説明</t>
  </si>
  <si>
    <t>年</t>
  </si>
  <si>
    <t>日</t>
  </si>
  <si>
    <t>号</t>
  </si>
  <si>
    <t>**wskakunin_owner1_JIMU_NAME</t>
  </si>
  <si>
    <t>cst_wskakunin_owner1_JIMU_NAME</t>
  </si>
  <si>
    <t>**wskakunin_owner1_JIMU_NAME_KANA</t>
  </si>
  <si>
    <t>cst_wskakunin_owner1_JIMU_NAME_KANA</t>
  </si>
  <si>
    <t>**wskakunin_owner1_POST</t>
  </si>
  <si>
    <t>**wskakunin_owner1_POST_KANA</t>
  </si>
  <si>
    <t>cst_wskakunin_owner1_POST_KANA</t>
  </si>
  <si>
    <t>cst_wskakunin_owner1__space_KANA</t>
  </si>
  <si>
    <t>**wsjob_JOB_KIND</t>
  </si>
  <si>
    <t>cst_wsjob_JOB_KIND</t>
  </si>
  <si>
    <t>**wsjob_TARGET_KIND</t>
  </si>
  <si>
    <t>cst_wsjob_TARGET_KIND</t>
  </si>
  <si>
    <t>cst_wskakunin_SHINSEI_DATE</t>
  </si>
  <si>
    <t>**shinsei_ISSUE_DATE</t>
  </si>
  <si>
    <t>申請日</t>
  </si>
  <si>
    <t>シート名
※重複不可</t>
  </si>
  <si>
    <t>※最後にNoObjectを記述</t>
  </si>
  <si>
    <t>備考</t>
  </si>
  <si>
    <t>showsheetflag_****
  1=表示
  0=削除
 -1=非表示
 -2=シート非表示（再表示不可）</t>
  </si>
  <si>
    <t>dSHEET</t>
  </si>
  <si>
    <t>DATA</t>
  </si>
  <si>
    <t>項目リスト</t>
  </si>
  <si>
    <t>NoObject</t>
  </si>
  <si>
    <t>※このシートをアクティブにして保存すること</t>
  </si>
  <si>
    <t xml:space="preserve"> </t>
  </si>
  <si>
    <t>申請者名</t>
  </si>
  <si>
    <t>申請者</t>
  </si>
  <si>
    <t>cst_wskakunin_APPLICANT_NAME</t>
  </si>
  <si>
    <t>直前の確認申請情報</t>
  </si>
  <si>
    <t>計画変更の概要</t>
  </si>
  <si>
    <t>**wskakunin_LAST_ISSUE_NO</t>
  </si>
  <si>
    <t>cst_wskakunin_LAST_ISSUE_NO</t>
  </si>
  <si>
    <t>**wskakunin_LAST_ISSUE_DATE</t>
  </si>
  <si>
    <t>cst_wskakunin_LAST_ISSUE_DATE</t>
  </si>
  <si>
    <t>**wskakunin_LAST_ISSUE_NAME</t>
  </si>
  <si>
    <t>cst_wskakunin_LAST_ISSUE_NAME</t>
  </si>
  <si>
    <t>**wskakunin_P1_HENKOU_GAIYOU</t>
  </si>
  <si>
    <t>cst_wskakunin_P1_HENKOU_GAIYOU</t>
  </si>
  <si>
    <t>□</t>
  </si>
  <si>
    <t>ルート１</t>
  </si>
  <si>
    <t>川崎市条例第6条第2項ただし書き許可：</t>
  </si>
  <si>
    <t>災害危険区域：</t>
  </si>
  <si>
    <t>都市計画法第53条許可：</t>
  </si>
  <si>
    <t>都市計画法第43条許可：</t>
  </si>
  <si>
    <t>風致地区：</t>
  </si>
  <si>
    <t>地区計画：</t>
  </si>
  <si>
    <t>法第53条の2第1項第3号の許可</t>
  </si>
  <si>
    <t>公告：</t>
  </si>
  <si>
    <t>（平成</t>
  </si>
  <si>
    <t>宅造検査済：　</t>
  </si>
  <si>
    <t>変更許可：</t>
  </si>
  <si>
    <t>開発完了公告：</t>
  </si>
  <si>
    <t>開発検査済：　</t>
  </si>
  <si>
    <t>開発変更許可：</t>
  </si>
  <si>
    <t>トップ</t>
  </si>
  <si>
    <t>確</t>
  </si>
  <si>
    <t>工</t>
  </si>
  <si>
    <t>昇</t>
  </si>
  <si>
    <t>建</t>
  </si>
  <si>
    <t>狭あい道路協議済：</t>
  </si>
  <si>
    <t>鉄骨部の部分において初めて工事を施工する階の建方工事</t>
  </si>
  <si>
    <t>法第43条ただし書き許可：</t>
  </si>
  <si>
    <t>工業専用</t>
  </si>
  <si>
    <t>基礎の配筋工事</t>
  </si>
  <si>
    <t>急傾斜地崩壊危険区域の許可：</t>
  </si>
  <si>
    <t>工業</t>
  </si>
  <si>
    <t>屋根版の配筋工事</t>
  </si>
  <si>
    <t>準工業</t>
  </si>
  <si>
    <t>屋根の小屋組工事及び構造耐力上主要な耐力壁の工事</t>
  </si>
  <si>
    <t>位置指定道路：</t>
  </si>
  <si>
    <t>商業</t>
  </si>
  <si>
    <t>屋根の小屋組工事及び構造耐力上主要な軸組の工事</t>
  </si>
  <si>
    <t>近隣商業</t>
  </si>
  <si>
    <t>２階の床及びこれを支持するはりに鉄筋を配置する工事の工程</t>
  </si>
  <si>
    <t>準住居</t>
  </si>
  <si>
    <t>１階を含む鉄骨建方工事</t>
  </si>
  <si>
    <t>宅地造成に関する工事許可：</t>
  </si>
  <si>
    <t>第2種住居</t>
  </si>
  <si>
    <t>構造計算書一式</t>
  </si>
  <si>
    <t>屋根工事</t>
  </si>
  <si>
    <t>第1種住居</t>
  </si>
  <si>
    <t>構造設計図書一式</t>
  </si>
  <si>
    <t>小屋組完了時</t>
  </si>
  <si>
    <t>第2種中高層住居専用</t>
  </si>
  <si>
    <t>道路側を除く敷地境界 1ｍ）</t>
  </si>
  <si>
    <t>設計図書一式（構造計算書を除く）</t>
  </si>
  <si>
    <t>２級</t>
  </si>
  <si>
    <t>（昭和</t>
  </si>
  <si>
    <t>全軸組緊結完了時</t>
  </si>
  <si>
    <t>第1種中高層住居専用</t>
  </si>
  <si>
    <t>敷地境界1ｍ）</t>
  </si>
  <si>
    <t>特-</t>
  </si>
  <si>
    <t>設計図書一式（構造設計図書を除く）</t>
  </si>
  <si>
    <t>東京都</t>
  </si>
  <si>
    <t>１級</t>
  </si>
  <si>
    <t>変</t>
  </si>
  <si>
    <t>●</t>
  </si>
  <si>
    <t>基礎配筋完了時</t>
  </si>
  <si>
    <t>開発許可：</t>
  </si>
  <si>
    <t>第2種低層住居専用</t>
  </si>
  <si>
    <t>道路境界1ｍ）</t>
  </si>
  <si>
    <t>■</t>
  </si>
  <si>
    <t>般-</t>
  </si>
  <si>
    <t>設計図書一式</t>
  </si>
  <si>
    <t>神奈川県</t>
  </si>
  <si>
    <t>第1種低層住居専用</t>
  </si>
  <si>
    <t xml:space="preserve">    )</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</si>
  <si>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</si>
  <si>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自転車駐車場</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</si>
  <si>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</si>
  <si>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</si>
  <si>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</si>
  <si>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飲食店</t>
  </si>
  <si>
    <t>百貨店、マーケットその他の物品販売業を営む店舗</t>
  </si>
  <si>
    <t>マージャン屋、ぱちんこ屋、射的場、勝馬投票券発売所、場外車券売場その他これらに類するもの又はカラオケボックスその他これらに類するもの</t>
  </si>
  <si>
    <t>体育館又はスポーツの練習場</t>
  </si>
  <si>
    <t>建築基準法施行令第130条の4第5号に基づき建設大臣が指定する施設</t>
  </si>
  <si>
    <t>公衆便所、休憩所又は路線バスの停留所の上家</t>
  </si>
  <si>
    <t>郵便法の規定により行う郵便の業務の用に供する施設</t>
  </si>
  <si>
    <t>児童福祉施設等</t>
  </si>
  <si>
    <t>老人ホーム、身体障害者福祉ホームその他これらに類するもの</t>
  </si>
  <si>
    <t>博物館その他これに類するもの</t>
  </si>
  <si>
    <t>図書館その他これに類するもの</t>
  </si>
  <si>
    <t>中学校、高等学校又は中等教育学校</t>
  </si>
  <si>
    <t>リスト</t>
  </si>
  <si>
    <t>用途の区分</t>
  </si>
  <si>
    <t>**wskakunin_dairi1__sikaku</t>
  </si>
  <si>
    <t>2.住居表示</t>
  </si>
  <si>
    <t>4.防火地域</t>
  </si>
  <si>
    <t>5.その他の区域</t>
  </si>
  <si>
    <t>6.道路</t>
  </si>
  <si>
    <t>幅員</t>
  </si>
  <si>
    <t>敷地と接している部分の長さ</t>
  </si>
  <si>
    <t>7.敷地面積</t>
  </si>
  <si>
    <t>建蔽率</t>
  </si>
  <si>
    <t>8.主要用途</t>
  </si>
  <si>
    <t>9.工事種別</t>
  </si>
  <si>
    <t>用途変更</t>
  </si>
  <si>
    <t>10.建築面積</t>
  </si>
  <si>
    <t>申請以外の部分</t>
  </si>
  <si>
    <t>合計</t>
  </si>
  <si>
    <t>11.延べ面積</t>
  </si>
  <si>
    <t>12.建築物の数</t>
  </si>
  <si>
    <t>13.建築物の高さ等</t>
  </si>
  <si>
    <t>他の建築物</t>
  </si>
  <si>
    <t>一部</t>
  </si>
  <si>
    <t>特例の適用の有無</t>
  </si>
  <si>
    <t>14.許可認定等</t>
  </si>
  <si>
    <t>19.備考</t>
  </si>
  <si>
    <t>□、■表示</t>
  </si>
  <si>
    <t>有無表示</t>
  </si>
  <si>
    <t>7.構造計算適合性判定</t>
  </si>
  <si>
    <t>適判名称</t>
  </si>
  <si>
    <t>適判所在地　都道府県</t>
  </si>
  <si>
    <t>適判所在地　市区町村</t>
  </si>
  <si>
    <t>提出状況チェック</t>
  </si>
  <si>
    <t>登録機関</t>
  </si>
  <si>
    <t>建築士登録番号</t>
  </si>
  <si>
    <t>**wskakunin_dairi1_SIKAKU__label</t>
  </si>
  <si>
    <t>**wskakunin_dairi1_KENTIKUSI_NO</t>
  </si>
  <si>
    <t>資格一括</t>
  </si>
  <si>
    <t>資格</t>
  </si>
  <si>
    <t>事務所 資格一括</t>
  </si>
  <si>
    <t>事務所　登録機関</t>
  </si>
  <si>
    <t>事務所　許可番号</t>
  </si>
  <si>
    <t>**wskakunin_dairi1_JIMU__sikaku</t>
  </si>
  <si>
    <t>**wskakunin_dairi1_JIMU_SIKAKU__label</t>
  </si>
  <si>
    <t>**wskakunin_dairi1_JIMU_NO</t>
  </si>
  <si>
    <t>シート保護　解除パスワード</t>
  </si>
  <si>
    <t>cst_wskakunin_koutei02_KOUTEI_KAISUU</t>
  </si>
  <si>
    <t>cst_wskakunin_koutei02_KOUTEI_DATE</t>
  </si>
  <si>
    <t>cst_wskakunin_koutei02_KOUTEI_TEXT</t>
  </si>
  <si>
    <t>委任状</t>
  </si>
  <si>
    <t>【ﾊ.郵便番号】</t>
  </si>
  <si>
    <t>【4.建築設備の設計に関し意見を聴いた者】</t>
  </si>
  <si>
    <t>【ﾎ.電話番号】</t>
  </si>
  <si>
    <t>【ﾍ.登録番号】</t>
  </si>
  <si>
    <t>【ﾄ.意見を聴いた設計図書】</t>
  </si>
  <si>
    <t>【ｲ.特定工程】</t>
  </si>
  <si>
    <t>工事監理の状況</t>
  </si>
  <si>
    <t>事務所名＋氏名</t>
  </si>
  <si>
    <t>cst_wskakunin_sekkei1_jimuname_name</t>
  </si>
  <si>
    <t>cst_wskakunin_dairi1_KENTIKUSI_NO</t>
  </si>
  <si>
    <t>cst_wskakunin_dairi1_SIKAKU</t>
  </si>
  <si>
    <t>cst_wskakunin_dairi1_TOUROKU_KIKAN</t>
  </si>
  <si>
    <t>cst_wskakunin_dairi1_JIMU_TOUROKU_KIKAN</t>
  </si>
  <si>
    <t>cst_wskakunin_dairi1_JIMU_NO</t>
  </si>
  <si>
    <t>**wskakunin_sekkei1_JIMU__sikaku</t>
  </si>
  <si>
    <t>**wskakunin_sekkei1_JIMU_SIKAKU__label</t>
  </si>
  <si>
    <t>**wskakunin_sekkei1_JIMU_NO</t>
  </si>
  <si>
    <t>cst_wskakunin_sekkei1_JIMU_TOUROKU_KIKAN</t>
  </si>
  <si>
    <t>cst_wskakunin_sekkei1_JIMU_NO</t>
  </si>
  <si>
    <t>**wskakunin_sekkei1_SIKAKU__label</t>
  </si>
  <si>
    <t>**wskakunin_sekkei1_KENTIKUSI_NO</t>
  </si>
  <si>
    <t>cst_wskakunin_sekkei1__sikaku</t>
  </si>
  <si>
    <t>cst_wskakunin_sekkei1_SIKAKU</t>
  </si>
  <si>
    <t>cst_wskakunin_sekkei1_TOUROKU_KIKAN</t>
  </si>
  <si>
    <t>cst_wskakunin_sekkei1_KENTIKUSI_NO</t>
  </si>
  <si>
    <t>DOC</t>
  </si>
  <si>
    <t>設計図書</t>
  </si>
  <si>
    <t>設計者1</t>
  </si>
  <si>
    <t>設計者2</t>
  </si>
  <si>
    <t>設計者3</t>
  </si>
  <si>
    <t>設計者4</t>
  </si>
  <si>
    <t>【ﾛ.資格】構造設計一級建築士交付番号</t>
  </si>
  <si>
    <t>（代表となる建築設備の設計に関し意見を聴いた者）</t>
  </si>
  <si>
    <t>【ｲ.氏名】</t>
  </si>
  <si>
    <t>【ﾛ.勤務先】</t>
  </si>
  <si>
    <t>【ﾆ.所在地】</t>
  </si>
  <si>
    <t>（その他の建築設備の設計に関し意見を聴いた者１）</t>
  </si>
  <si>
    <t>（その他の建築設備の設計に関し意見を聴いた者２）</t>
  </si>
  <si>
    <t>（その他の建築設備の設計に関し意見を聴いた者３）</t>
  </si>
  <si>
    <t>建設業の許可</t>
  </si>
  <si>
    <t>登録番号</t>
  </si>
  <si>
    <t>－未申請チェック</t>
  </si>
  <si>
    <t>－申請不要チェック</t>
  </si>
  <si>
    <t>－提出済チェック</t>
  </si>
  <si>
    <t>－未提出チェック</t>
  </si>
  <si>
    <t>－提出不要チェック</t>
  </si>
  <si>
    <t>監理者1</t>
  </si>
  <si>
    <t>監理者2</t>
  </si>
  <si>
    <t>監理者3</t>
  </si>
  <si>
    <t>監理者4</t>
  </si>
  <si>
    <t>cst_wskakunin_tekihan01_TEKIHAN_STATE_mishinsei</t>
  </si>
  <si>
    <t>cst_wskakunin_tekihan01_TEKIHAN_STATE_shinseifuyou</t>
  </si>
  <si>
    <t>名称＋都道府県＋市区町村</t>
  </si>
  <si>
    <t>工事期間-年</t>
  </si>
  <si>
    <t>工事期間-月</t>
  </si>
  <si>
    <t>提出不要-理由</t>
  </si>
  <si>
    <t>**wskakunin_APPLICANT_NAME</t>
  </si>
  <si>
    <t>**wskakunin_PAGE1_ALTERATION_NOTE</t>
  </si>
  <si>
    <t>cst_wskakunin_PAGE1_ALTERATION_NOTE</t>
  </si>
  <si>
    <t>FAX番号</t>
  </si>
  <si>
    <t>**wskakunin_dairi1_FAX</t>
  </si>
  <si>
    <t>cst_wskakunin_dairi1_FAX</t>
  </si>
  <si>
    <t>※ 特定施工業者の検索</t>
  </si>
  <si>
    <t>cst_wskakunin_ecotekihan01_FUYOU_CAUSE</t>
  </si>
  <si>
    <t>8.建築物エネルギー消費性能確保計画の提出</t>
  </si>
  <si>
    <t>提出済-機関情報</t>
  </si>
  <si>
    <t>未提出-機関情報</t>
  </si>
  <si>
    <t>敷地面積</t>
  </si>
  <si>
    <t>敷地面積の合計</t>
  </si>
  <si>
    <t>地名地番</t>
  </si>
  <si>
    <t>最高の高さ</t>
  </si>
  <si>
    <t>階数-地上</t>
  </si>
  <si>
    <t>階数-地下</t>
  </si>
  <si>
    <t>特例の区分</t>
  </si>
  <si>
    <t>特例の有無</t>
  </si>
  <si>
    <t>ボックス-有</t>
  </si>
  <si>
    <t>ボックス-無</t>
  </si>
  <si>
    <t>cst_wskakunin_TOKUREI_TAKASA_box_on</t>
  </si>
  <si>
    <t>回数</t>
  </si>
  <si>
    <t>終了予定日</t>
  </si>
  <si>
    <t>特定工程</t>
  </si>
  <si>
    <t>区別</t>
  </si>
  <si>
    <t>第１号</t>
  </si>
  <si>
    <t>第２号</t>
  </si>
  <si>
    <t>第３号</t>
  </si>
  <si>
    <t>第４号</t>
  </si>
  <si>
    <t>【ｲ.建築基準法施工令第10条各号に掲げる建築物の区分</t>
  </si>
  <si>
    <t>【2.工事種別】</t>
  </si>
  <si>
    <t>【ﾊ.建築基準法第68条の20第２項の検査の特例に係る認証番号</t>
  </si>
  <si>
    <t>【6.工事着手年月日】</t>
  </si>
  <si>
    <t>【8.特定工程】</t>
  </si>
  <si>
    <t>【ﾛ.特定工程工事終了年月日】</t>
  </si>
  <si>
    <t>【ﾊ.検査対象床面積】</t>
  </si>
  <si>
    <t>【9.今回申請以前の中間検査】</t>
  </si>
  <si>
    <t>【ﾛ.中間検査合格証交付者】</t>
  </si>
  <si>
    <t>【ﾊ.中間検査合格証番号】</t>
  </si>
  <si>
    <t>【ﾆ.交付年月日】</t>
  </si>
  <si>
    <t>【10.今回申請以降の中間検査】</t>
  </si>
  <si>
    <t>【ﾛ.特定工程工事終了予定年月日】</t>
  </si>
  <si>
    <t>【11.確認以降の軽微な変更の概要】</t>
  </si>
  <si>
    <t>【ｲ.変更された設計図書の種類】</t>
  </si>
  <si>
    <t>【ﾛ.変更の概要】</t>
  </si>
  <si>
    <t>**wskakunin_sekkei1__address</t>
  </si>
  <si>
    <t>cst_wskakunin_sekkei1__address</t>
  </si>
  <si>
    <t>**wskakunin_sekkei1_TEL</t>
  </si>
  <si>
    <t>cst_wskakunin_sekkei1_TEL</t>
  </si>
  <si>
    <t>**wskakunin_sekkei1_DOC</t>
  </si>
  <si>
    <t>cst_wskakunin_sekkei1_DOC</t>
  </si>
  <si>
    <t>**wskakunin_sekkei2__sikaku</t>
  </si>
  <si>
    <t>cst_wskakunin_sekkei2__sikaku</t>
  </si>
  <si>
    <t>**wskakunin_sekkei2_SIKAKU__label</t>
  </si>
  <si>
    <t>cst_wskakunin_sekkei2_SIKAKU</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</si>
  <si>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</si>
  <si>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</si>
  <si>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</si>
  <si>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</si>
  <si>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</si>
  <si>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</si>
  <si>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</si>
  <si>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</si>
  <si>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</si>
  <si>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</si>
  <si>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</si>
  <si>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</si>
  <si>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</si>
  <si>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</si>
  <si>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</si>
  <si>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</si>
  <si>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</si>
  <si>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</si>
  <si>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</si>
  <si>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</si>
  <si>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</si>
  <si>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</si>
  <si>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**wskakunin_sekkei3__sikaku</t>
  </si>
  <si>
    <t>cst_wskakunin_sekkei3__sikaku</t>
  </si>
  <si>
    <t>**wskakunin_sekkei3_SIKAKU__label</t>
  </si>
  <si>
    <t>cst_wskakunin_sekkei3_SIKAKU</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</si>
  <si>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</si>
  <si>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</si>
  <si>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</si>
  <si>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</si>
  <si>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</si>
  <si>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</si>
  <si>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</si>
  <si>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</si>
  <si>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</si>
  <si>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</si>
  <si>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</si>
  <si>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</si>
  <si>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</si>
  <si>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</si>
  <si>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</si>
  <si>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</si>
  <si>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</si>
  <si>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</si>
  <si>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</si>
  <si>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</si>
  <si>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</si>
  <si>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</si>
  <si>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**wskakunin_sekkei4__sikaku</t>
  </si>
  <si>
    <t>cst_wskakunin_sekkei4__sikaku</t>
  </si>
  <si>
    <t>**wskakunin_sekkei4_SIKAKU__label</t>
  </si>
  <si>
    <t>cst_wskakunin_sekkei4_SIKAKU</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</si>
  <si>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</si>
  <si>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</si>
  <si>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</si>
  <si>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</si>
  <si>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</si>
  <si>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</si>
  <si>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</si>
  <si>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</si>
  <si>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</si>
  <si>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</si>
  <si>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</si>
  <si>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</si>
  <si>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</si>
  <si>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</si>
  <si>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</si>
  <si>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</si>
  <si>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</si>
  <si>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</si>
  <si>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</si>
  <si>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</si>
  <si>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</si>
  <si>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</si>
  <si>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（構造設計一級建築士又は設備設計一級建築士である旨の表示をした者）</t>
  </si>
  <si>
    <t>建築士法第20条の２第１項の表示をした者</t>
  </si>
  <si>
    <t>**wskakunin_20kouzou101_NAME</t>
  </si>
  <si>
    <t>cst_wskakunin_20kouzou101_NAME</t>
  </si>
  <si>
    <t>建築士法第20条の２第３項の表示をした者</t>
  </si>
  <si>
    <t>**wskakunin_20kouzou301_NAME</t>
  </si>
  <si>
    <t>cst_wskakunin_20kouzou301_NAME</t>
  </si>
  <si>
    <t>建築士法第20条の３第１項の表示をした者</t>
  </si>
  <si>
    <t>**wskakunin_20setubi101_NAME</t>
  </si>
  <si>
    <t>cst_wskakunin_20setubi101_NAME</t>
  </si>
  <si>
    <t>【ﾛ.資格】設備設計一級建築士交付番号</t>
  </si>
  <si>
    <t>**wskakunin_20setubi102_NAME</t>
  </si>
  <si>
    <t>cst_wskakunin_20setubi102_NAME</t>
  </si>
  <si>
    <t>**wskakunin_20setubi103_NAME</t>
  </si>
  <si>
    <t>cst_wskakunin_20setubi103_NAME</t>
  </si>
  <si>
    <t>建築士法第20条の３第３項の表示をした者</t>
  </si>
  <si>
    <t>**wskakunin_20setubi301_NAME</t>
  </si>
  <si>
    <t>cst_wskakunin_20setubi301_NAME</t>
  </si>
  <si>
    <t>**wskakunin_20setubi302_NAME</t>
  </si>
  <si>
    <t>cst_wskakunin_20setubi302_NAME</t>
  </si>
  <si>
    <t>**wskakunin_20setubi303_NAME</t>
  </si>
  <si>
    <t>cst_wskakunin_20setubi303_NAME</t>
  </si>
  <si>
    <t>（代表となる工事監理者）</t>
  </si>
  <si>
    <t>**wskakunin_kanri1__sikaku</t>
  </si>
  <si>
    <t>cst_wskakunin_kanri1__sikaku</t>
  </si>
  <si>
    <t>**wskakunin_kanri1_SIKAKU__label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</si>
  <si>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</si>
  <si>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</si>
  <si>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</si>
  <si>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</si>
  <si>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</si>
  <si>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</si>
  <si>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</si>
  <si>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</si>
  <si>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cst_wskakunin_kanri1_JIMU_TOUROKU_KIKAN</t>
  </si>
  <si>
    <t>**wskakunin_kanri1_JIMU_NO</t>
  </si>
  <si>
    <t>cst_wskakunin_kanri1_JIMU_NO</t>
  </si>
  <si>
    <t>**wskakunin_kanri1_JIMU_NAME</t>
  </si>
  <si>
    <t>cst_wskakunin_kanri1_JIMU_NAME</t>
  </si>
  <si>
    <t>**wskakunin_kanri1_ZIP</t>
  </si>
  <si>
    <t>cst_wskakunin_kanri1_ZIP</t>
  </si>
  <si>
    <t>**wskakunin_kanri1__address</t>
  </si>
  <si>
    <t>cst_wskakunin_kanri1__address</t>
  </si>
  <si>
    <t>**wskakunin_kanri1_TEL</t>
  </si>
  <si>
    <t>cst_wskakunin_kanri1_TEL</t>
  </si>
  <si>
    <t>**wskakunin_kanri1_DOC</t>
  </si>
  <si>
    <t>cst_wskakunin_kanri1_DOC</t>
  </si>
  <si>
    <t>**wskakunin_kanri2__sikaku</t>
  </si>
  <si>
    <t>cst_wskakunin_kanri2__sikaku</t>
  </si>
  <si>
    <t>**wskakunin_kanri2_SIKAKU__label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</si>
  <si>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</si>
  <si>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</si>
  <si>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</si>
  <si>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</si>
  <si>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</si>
  <si>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</si>
  <si>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</si>
  <si>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</si>
  <si>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</si>
  <si>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</si>
  <si>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</si>
  <si>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</si>
  <si>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</si>
  <si>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</si>
  <si>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</si>
  <si>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</si>
  <si>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</si>
  <si>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</si>
  <si>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</si>
  <si>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</si>
  <si>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</si>
  <si>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**wskakunin_kanri3__sikaku</t>
  </si>
  <si>
    <t>cst_wskakunin_kanri3__sikaku</t>
  </si>
  <si>
    <t>**wskakunin_kanri3_SIKAKU__label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</si>
  <si>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</si>
  <si>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</si>
  <si>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</si>
  <si>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</si>
  <si>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</si>
  <si>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</si>
  <si>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</si>
  <si>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</si>
  <si>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</si>
  <si>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</si>
  <si>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</si>
  <si>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</si>
  <si>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</si>
  <si>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</si>
  <si>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</si>
  <si>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</si>
  <si>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</si>
  <si>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</si>
  <si>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</si>
  <si>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</si>
  <si>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</si>
  <si>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**wskakunin_kanri4__sikaku</t>
  </si>
  <si>
    <t>cst_wskakunin_kanri4__sikaku</t>
  </si>
  <si>
    <t>**wskakunin_kanri4_SIKAKU__label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</si>
  <si>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</si>
  <si>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</si>
  <si>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</si>
  <si>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</si>
  <si>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</si>
  <si>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</si>
  <si>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</si>
  <si>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</si>
  <si>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</si>
  <si>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</si>
  <si>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</si>
  <si>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</si>
  <si>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</si>
  <si>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</si>
  <si>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</si>
  <si>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</si>
  <si>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</si>
  <si>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</si>
  <si>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</si>
  <si>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</si>
  <si>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</si>
  <si>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**wskakunin_sekou1_NAME</t>
  </si>
  <si>
    <t>cst_wskakunin_sekou1_NAME</t>
  </si>
  <si>
    <t>**wskakunin_sekou1_SEKOU__sikaku</t>
  </si>
  <si>
    <t>cst_wskakunin_sekou1_SEKOU__sikaku</t>
  </si>
  <si>
    <t>**wskakunin_sekou1_JIMU_NAME</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</si>
  <si>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</si>
  <si>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</si>
  <si>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</si>
  <si>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</si>
  <si>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</si>
  <si>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</si>
  <si>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</si>
  <si>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</si>
  <si>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</si>
  <si>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</si>
  <si>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</si>
  <si>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</si>
  <si>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**wskakunin_BUILD_NAME</t>
  </si>
  <si>
    <t>cst_wskakunin_BUILD_NAME</t>
  </si>
  <si>
    <t>チェック</t>
  </si>
  <si>
    <t>**wskakunin_tekihan01_TEKIHAN_STATE</t>
  </si>
  <si>
    <t>－申請済チェック</t>
  </si>
  <si>
    <t>cst_wskakunin_tekihan01_TEKIHAN_STATE_shinsei</t>
  </si>
  <si>
    <t>**wskakunin_tekihan01_TEKIHAN_KIKAN_NAME</t>
  </si>
  <si>
    <t>cst_wskakunin_tekihan01_TEKIHAN_KIKAN_NAME</t>
  </si>
  <si>
    <t>**wskakunin_tekihan01_TEKIHAN_KIKAN_KEN__ken</t>
  </si>
  <si>
    <t>cst_wskakunin_tekihan01_TEKIHAN_KIKAN_KEN__ken</t>
  </si>
  <si>
    <t>**wskakunin_tekihan01_TEKIHAN_KIKAN_ADDRESS</t>
  </si>
  <si>
    <t>cst_wskakunin_tekihan01_TEKIHAN_KIKAN_ADDRESS</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</si>
  <si>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</si>
  <si>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</si>
  <si>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</si>
  <si>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</si>
  <si>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</si>
  <si>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</si>
  <si>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</si>
  <si>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</si>
  <si>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**wskakunin_ecotekihan01_TEKIHAN_STATE</t>
  </si>
  <si>
    <t>cst_wskakunin_ecotekihan01_TEKIHAN_STATE_teisyutu</t>
  </si>
  <si>
    <t>cst_wskakunin_ecotekihan01_TEKIHAN_STATE_miteisyutu</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</si>
  <si>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</si>
  <si>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</si>
  <si>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</si>
  <si>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</si>
  <si>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</si>
  <si>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</si>
  <si>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</si>
  <si>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cst_wskakunin_ecotekihan01_teisyutu_kikan_info</t>
  </si>
  <si>
    <t>cst_wskakunin_ecotekihan01_miteisyutu_kikan_info</t>
  </si>
  <si>
    <t>**wskakunin_ecotekihan01_FUYOU_CAUSE</t>
  </si>
  <si>
    <t>**wskakunin_p4_1_youto1_YOUTO</t>
  </si>
  <si>
    <t>cst_wskakunin_p4_1_youto1_YOUTO</t>
  </si>
  <si>
    <t>区分</t>
  </si>
  <si>
    <t>**wskakunin_p4_1_youto1_YOUTO_CODE</t>
  </si>
  <si>
    <t>cst_wskakunin_p4_1_youto1_YOUTO_CODE</t>
  </si>
  <si>
    <t>cst_wskakunin_p4_1_youto1_YOUTO_1</t>
  </si>
  <si>
    <t>物品販売業を営む店舗等</t>
  </si>
  <si>
    <t>cst_wskakunin_p4_1_youto1_YOUTO_2</t>
  </si>
  <si>
    <t>cst_wskakunin_p4_1_youto1_YOUTO_3</t>
  </si>
  <si>
    <t>cst_wskakunin_p4_1_youto1_YOUTO_4</t>
  </si>
  <si>
    <t>cst_wskakunin_p4_1_youto1_YOUTO_5</t>
  </si>
  <si>
    <t>cst_wskakunin_p4_1_youto1_YOUTO_6</t>
  </si>
  <si>
    <t>cst_wskakunin_p4_1_youto1_YOUTO_9</t>
  </si>
  <si>
    <t>**wskakunin_p4_1__kouji</t>
  </si>
  <si>
    <t>cst_wskakunin_p4_1__kouji</t>
  </si>
  <si>
    <t>**wskakunin_p4_1_KAISU_TIKAI_NOZOKU</t>
  </si>
  <si>
    <t>cst_wskakunin_p4_1_KAISU_TIKAI_NOZOKU</t>
  </si>
  <si>
    <t>**wskakunin_p4_1_KAISU_TIKAI</t>
  </si>
  <si>
    <t>cst_wskakunin_p4_1_KAISU_TIKAI</t>
  </si>
  <si>
    <t>**wskakunin_p4_1_KOUZOU1</t>
  </si>
  <si>
    <t>cst_wskakunin_p4_1_KOUZOU1</t>
  </si>
  <si>
    <t>**wskakunin_p4_1_KOUZOU2</t>
  </si>
  <si>
    <t>cst_wskakunin_p4_1_KOUZOU2</t>
  </si>
  <si>
    <t>**wskakunin_p4_1_TAKASA_MAX</t>
  </si>
  <si>
    <t>cst_wskakunin_p4_1_TAKASA_MAX</t>
  </si>
  <si>
    <t>**wskakunin_p4_1_TAKASA_KEN_MAX</t>
  </si>
  <si>
    <t>cst_wskakunin_p4_1_TAKASA_KEN_MAX</t>
  </si>
  <si>
    <t>1.地名地番</t>
  </si>
  <si>
    <t>**wskakunin_BUILD__address</t>
  </si>
  <si>
    <t>cst_wskakunin_BUILD__address</t>
  </si>
  <si>
    <t>**wskakunin_BUILD_KEN__ken</t>
  </si>
  <si>
    <t>cst_wskakunin_BUILD_KEN__ken</t>
  </si>
  <si>
    <t>**wskakunin_BUILD_JYUKYO_ADDRESS</t>
  </si>
  <si>
    <t>cst_wskakunin_BUILD_JYUKYO_ADDRESS</t>
  </si>
  <si>
    <t>3.都市計画区域</t>
  </si>
  <si>
    <t>**wskakunin_KUIKI_TOSI</t>
  </si>
  <si>
    <t>cst_wskakunin_KUIKI_TOSI</t>
  </si>
  <si>
    <t>**wskakunin__kuiki</t>
  </si>
  <si>
    <t>cst_wskakunin__kuiki</t>
  </si>
  <si>
    <t>**wskakunin_KUIKI_SIGAIKA</t>
  </si>
  <si>
    <t>cst_wskakunin_KUIKI_SIGAIKA</t>
  </si>
  <si>
    <t>**wskakunin__tosi_kuiki</t>
  </si>
  <si>
    <t>cst_wskakunin__tosi_kuiki</t>
  </si>
  <si>
    <t>**wskakunin_KUIKI_TYOSEI</t>
  </si>
  <si>
    <t>cst_wskakunin_KUIKI_TYOSEI</t>
  </si>
  <si>
    <t>**wskakunin_KUIKI_HISETTEI</t>
  </si>
  <si>
    <t>cst_wskakunin_KUIKI_HISETTEI</t>
  </si>
  <si>
    <t>**wskakunin_KUIKI_JYUN_TOSHI</t>
  </si>
  <si>
    <t>cst_wskakunin_KUIKI_JYUN_TOSHI</t>
  </si>
  <si>
    <t>**wskakunin_KUIKI_KUIKIGAI</t>
  </si>
  <si>
    <t>cst_wskakunin_KUIKI_KUIKIGAI</t>
  </si>
  <si>
    <t>**wskakunin__bouka</t>
  </si>
  <si>
    <t>cst_wskakunin__bouka</t>
  </si>
  <si>
    <t>**wskakunin_BOUKA_BOUKA</t>
  </si>
  <si>
    <t>cst_wskakunin_BOUKA_BOUKA</t>
  </si>
  <si>
    <t>**wskakunin_BOUKA_JYUN_BOUKA</t>
  </si>
  <si>
    <t>cst_wskakunin_BOUKA_JYUN_BOUKA</t>
  </si>
  <si>
    <t>**wskakunin_BOUKA_NASI</t>
  </si>
  <si>
    <t>cst_wskakunin_BOUKA_NASI</t>
  </si>
  <si>
    <t>**wskakunin_BOUKA_22JYO</t>
  </si>
  <si>
    <t>cst_wskakunin_BOUKA_22JYO</t>
  </si>
  <si>
    <t>**wskakunin_SONOTA_KUIKI</t>
  </si>
  <si>
    <t>cst_wskakunin_wskakunin_SONOTA_KUIKI</t>
  </si>
  <si>
    <t>**wskakunin_DOURO_FUKUIN</t>
  </si>
  <si>
    <t>cst_wskakunin_DOURO_FUKUIN</t>
  </si>
  <si>
    <t>**wskakunin_DOURO_NAGASA</t>
  </si>
  <si>
    <t>cst_wskakunin_DOURO_NAGASA</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</si>
  <si>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</si>
  <si>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</si>
  <si>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</si>
  <si>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</si>
  <si>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</si>
  <si>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</si>
  <si>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</si>
  <si>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</si>
  <si>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</si>
  <si>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</si>
  <si>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</si>
  <si>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</si>
  <si>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</si>
  <si>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</si>
  <si>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</si>
  <si>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</si>
  <si>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</si>
  <si>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</si>
  <si>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</si>
  <si>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</si>
  <si>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</si>
  <si>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</si>
  <si>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</si>
  <si>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</si>
  <si>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</si>
  <si>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</si>
  <si>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</si>
  <si>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</si>
  <si>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</si>
  <si>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</si>
  <si>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</si>
  <si>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</si>
  <si>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</si>
  <si>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</si>
  <si>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</si>
  <si>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</si>
  <si>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</si>
  <si>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</si>
  <si>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</si>
  <si>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</si>
  <si>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</si>
  <si>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</si>
  <si>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</si>
  <si>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</si>
  <si>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</si>
  <si>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</si>
  <si>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</si>
  <si>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</si>
  <si>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</si>
  <si>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</si>
  <si>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</si>
  <si>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</si>
  <si>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</si>
  <si>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</si>
  <si>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</si>
  <si>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</si>
  <si>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</si>
  <si>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</si>
  <si>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</si>
  <si>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</si>
  <si>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</si>
  <si>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</si>
  <si>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</si>
  <si>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</si>
  <si>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</si>
  <si>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</si>
  <si>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CODE</t>
  </si>
  <si>
    <t>**wskakunin_YOUTO_CODE</t>
  </si>
  <si>
    <t>cst_wskakunin_YOUTO_CODE</t>
  </si>
  <si>
    <t>**wskakunin_YOUTO</t>
  </si>
  <si>
    <t>cst_wskakunin_YOUTO</t>
  </si>
  <si>
    <t>**wskakunin__kouji</t>
  </si>
  <si>
    <t>cst_wskakunin__kouji</t>
  </si>
  <si>
    <t>**wskakunin_KOUJI_SINTIKU</t>
  </si>
  <si>
    <t>**wskakunin_KOUJI_ZOUTIKU</t>
  </si>
  <si>
    <t>**wskakunin_KOUJI_KAITIKU</t>
  </si>
  <si>
    <t>**wskakunin_KOUJI_ITEN</t>
  </si>
  <si>
    <t>**wskakunin_KOUJI_YOUTOHENKOU</t>
  </si>
  <si>
    <t>大規模の修繕</t>
  </si>
  <si>
    <t>**wskakunin_KOUJI_DAI_SYUUZEN</t>
  </si>
  <si>
    <t>大規模の模様替</t>
  </si>
  <si>
    <t>**wskakunin_KOUJI_DAI_MOYOUGAE</t>
  </si>
  <si>
    <t>建築設備の設置</t>
  </si>
  <si>
    <t>**wskakuninKOUJI_SETUBI</t>
  </si>
  <si>
    <t>申請部分</t>
  </si>
  <si>
    <t>**wskakunin_KENTIKU_MENSEKI_SHINSEI</t>
  </si>
  <si>
    <t>cst_wskakunin_KENTIKU_MENSEKI_SHINSEI</t>
  </si>
  <si>
    <t>**wskakunin_KENTIKU_MENSEKI_IGAI</t>
  </si>
  <si>
    <t>cst_wskakunin_KENTIKU_MENSEKI_IGAI</t>
  </si>
  <si>
    <t>**wskakunin_KENTIKU_MENSEKI_TOTAL</t>
  </si>
  <si>
    <t>cst_wskakunin_KENTIKU_MENSEKI_TOTAL</t>
  </si>
  <si>
    <t>**wskakunin_KENPEI_RITU</t>
  </si>
  <si>
    <t>cst_wskakunin_KENPEI_RITU</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</si>
  <si>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</si>
  <si>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</si>
  <si>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</si>
  <si>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</si>
  <si>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</si>
  <si>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</si>
  <si>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</si>
  <si>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</si>
  <si>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</si>
  <si>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</si>
  <si>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</si>
  <si>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</si>
  <si>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</si>
  <si>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</si>
  <si>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</si>
  <si>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</si>
  <si>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</si>
  <si>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</si>
  <si>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</si>
  <si>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</si>
  <si>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</si>
  <si>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</si>
  <si>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</si>
  <si>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</si>
  <si>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</si>
  <si>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</si>
  <si>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</si>
  <si>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</si>
  <si>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</si>
  <si>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</si>
  <si>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</si>
  <si>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</si>
  <si>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</si>
  <si>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</si>
  <si>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</si>
  <si>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</si>
  <si>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</si>
  <si>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</si>
  <si>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</si>
  <si>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</si>
  <si>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</si>
  <si>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</si>
  <si>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</si>
  <si>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</si>
  <si>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</si>
  <si>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</si>
  <si>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</si>
  <si>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</si>
  <si>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</si>
  <si>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</si>
  <si>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</si>
  <si>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</si>
  <si>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</si>
  <si>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</si>
  <si>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</si>
  <si>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</si>
  <si>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</si>
  <si>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</si>
  <si>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</si>
  <si>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</si>
  <si>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</si>
  <si>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</si>
  <si>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</si>
  <si>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</si>
  <si>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</si>
  <si>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</si>
  <si>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**wskakunin_NOBE_MENSEKI</t>
  </si>
  <si>
    <t>cst_wskakunin_NOBE_MENSEKI</t>
  </si>
  <si>
    <t>**wskakunin_YOUSEKI_RITU</t>
  </si>
  <si>
    <t>cst_wskakunin_YOUSEKI_RITU</t>
  </si>
  <si>
    <t>申請に係る建築物の数</t>
  </si>
  <si>
    <t>**wskakunin_BUILD_SHINSEI_COUNT</t>
  </si>
  <si>
    <t>cst_wskakunin_BUILD_SHINSEI_COUNT</t>
  </si>
  <si>
    <t>同一敷地内の他の建築物の数</t>
  </si>
  <si>
    <t>**wskakunin_BUILD_SONOTA_COUNT</t>
  </si>
  <si>
    <t>cst_wskakunin_BUILD_SONOTA_COUNT</t>
  </si>
  <si>
    <t>申請に係る建築物</t>
  </si>
  <si>
    <t>**wskakunin_TAKASA_MAX_SHINSEI</t>
  </si>
  <si>
    <t>cst_wskakunin_TAKASA_MAX_SHINSEI</t>
  </si>
  <si>
    <t>**wskakunin_TAKASA_MAX_SONOTA</t>
  </si>
  <si>
    <t>cst_wskakunin_TAKASA_MAX_SONOTA</t>
  </si>
  <si>
    <t>**wskakunin_KAISU_TIJYOU_SHINSEI</t>
  </si>
  <si>
    <t>cst_wskakunin_KAISU_TIJYOU_SHINSEI</t>
  </si>
  <si>
    <t>**wskakunin_KAISU_TIJYOU_SONOTA</t>
  </si>
  <si>
    <t>cst_wskakunin_KAISU_TIJYOU_SONOTA</t>
  </si>
  <si>
    <t>**wskakunin_KAISU_TIKA_SHINSEI__zero</t>
  </si>
  <si>
    <t>cst_wskakunin_KAISU_TIKA_SHINSEI__zero</t>
  </si>
  <si>
    <t>**wskakunin_KAISU_TIKA_SONOTA</t>
  </si>
  <si>
    <t>cst_wskakunin_KAISU_TIKA_SONOTA</t>
  </si>
  <si>
    <t>**wskakunin_KOUZOU1</t>
  </si>
  <si>
    <t>cst_wskakunin_KOUZOU1</t>
  </si>
  <si>
    <t>**wskakunin_KOUZOU2</t>
  </si>
  <si>
    <t>cst_wskakunin_KOUZOU2</t>
  </si>
  <si>
    <t>**wskakunin_TOKUREI_TAKASA</t>
  </si>
  <si>
    <t>cst_wskakunin_TOKUREI_TAKASA</t>
  </si>
  <si>
    <t>cst_wskakunin_TOKUREI_TAKASA_box_off</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</si>
  <si>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</si>
  <si>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</si>
  <si>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</si>
  <si>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</si>
  <si>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</si>
  <si>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</si>
  <si>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</si>
  <si>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</si>
  <si>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</si>
  <si>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15.工事着手予定年月日</t>
  </si>
  <si>
    <t>**wskakunin_KOUJI_TYAKUSYU_YOTEI_DATE</t>
  </si>
  <si>
    <t>cst_wskakunin_KOUJI_TYAKUSYU_YOTEI_DATE</t>
  </si>
  <si>
    <t>16.工事完了予定年月日</t>
  </si>
  <si>
    <t>**wskakunin_KOUJI_KANRYOU_YOTEI_DATE</t>
  </si>
  <si>
    <t>cst_wskakunin_KOUJI_KANRYOU_YOTEI_DATE</t>
  </si>
  <si>
    <t>17.特定工程工事終了予定年月日</t>
  </si>
  <si>
    <t>1.</t>
  </si>
  <si>
    <t>**wskakunin_koutei01_KOUTEI_KAISUU</t>
  </si>
  <si>
    <t>cst_wskakunin_koutei01_KOUTEI_KAISUU</t>
  </si>
  <si>
    <t>**wskakunin_koutei01_KOUTEI_DATE</t>
  </si>
  <si>
    <t>cst_wskakunin_koutei01_KOUTEI_DATE</t>
  </si>
  <si>
    <t>**wskakunin_koutei01_KOUTEI_TEXT</t>
  </si>
  <si>
    <t>cst_wskakunin_koutei01_KOUTEI_TEXT</t>
  </si>
  <si>
    <t>2.</t>
  </si>
  <si>
    <t>**wskakunin_koutei02_KOUTEI_KAISUU</t>
  </si>
  <si>
    <t>**wskakunin_koutei02_KOUTEI_DATE</t>
  </si>
  <si>
    <t>**wskakunin_koutei02_KOUTEI_TEXT</t>
  </si>
  <si>
    <t>3.</t>
  </si>
  <si>
    <t>**wskakunin_koutei03_KOUTEI_KAISUU</t>
  </si>
  <si>
    <t>cst_wskakunin_koutei03_KOUTEI_KAISUU</t>
  </si>
  <si>
    <t>**wskakunin_koutei03_KOUTEI_DATE</t>
  </si>
  <si>
    <t>cst_wskakunin_koutei03_KOUTEI_DATE</t>
  </si>
  <si>
    <t>**wskakunin_koutei03_KOUTEI_TEXT</t>
  </si>
  <si>
    <t>cst_wskakunin_koutei03_KOUTEI_TEXT</t>
  </si>
  <si>
    <t>18.その他必要な事項</t>
  </si>
  <si>
    <t>**wskakunin_P3_SONOTA</t>
  </si>
  <si>
    <t>cst_wskakunin_P3_SONOTA</t>
  </si>
  <si>
    <t>**wskakunin_P3_BIKOU</t>
  </si>
  <si>
    <t>cst_wskakunin_P3_BIKOU</t>
  </si>
  <si>
    <t>中間検査申請</t>
  </si>
  <si>
    <t>完了検査申請</t>
  </si>
  <si>
    <t>申請書種別</t>
  </si>
  <si>
    <t>1=建築物、
2=昇降機、3=建築設備、
4=工作物(88-1)、5=工作物(88-2)</t>
  </si>
  <si>
    <t>申請対象</t>
  </si>
  <si>
    <t>申請書セット種別</t>
  </si>
  <si>
    <t>0=不明な申請、100=基準法、200=適合証明、
300=性能評価</t>
  </si>
  <si>
    <t>*</t>
  </si>
  <si>
    <t>建築物</t>
  </si>
  <si>
    <t>昇降機</t>
  </si>
  <si>
    <t>建築設備</t>
  </si>
  <si>
    <t>工作物(88-1)</t>
  </si>
  <si>
    <t>工作物(88-2)</t>
  </si>
  <si>
    <t>cls_TARGET_KIND_erea</t>
  </si>
  <si>
    <t>cls_TARGET_KIND_base_point</t>
  </si>
  <si>
    <t>cst_DATA</t>
  </si>
  <si>
    <t>計画変更</t>
  </si>
  <si>
    <t>中間検査</t>
  </si>
  <si>
    <t>完了検査</t>
  </si>
  <si>
    <t>その他申請</t>
  </si>
  <si>
    <t>確認申請</t>
  </si>
  <si>
    <t>cls_JOB_KIND_erea</t>
  </si>
  <si>
    <t>cls_JOB_KIND_base_point</t>
  </si>
  <si>
    <t>＜基準法＞
101=確認申請、102=計画変更、103=中間検査、104=完了検査
＜その他申請＞
999=その他申請</t>
  </si>
  <si>
    <t>cst_wsjob_JOB_SET_KIND</t>
  </si>
  <si>
    <t>**wsjob_JOB_SET_KIND</t>
  </si>
  <si>
    <t>cls_JOB_SET_KIND_erea</t>
  </si>
  <si>
    <t>cls_JOB_SET_KIND_base_point</t>
  </si>
  <si>
    <t>不明な申請</t>
  </si>
  <si>
    <t>基準法</t>
  </si>
  <si>
    <t>適合証明</t>
  </si>
  <si>
    <t>性能評価</t>
  </si>
  <si>
    <t>交付日</t>
  </si>
  <si>
    <t>**wskakunin_kyoka##_****</t>
  </si>
  <si>
    <t>根拠となる法令</t>
  </si>
  <si>
    <t>根拠となる法令の条項</t>
  </si>
  <si>
    <t>許可・認定等の番号</t>
  </si>
  <si>
    <t>認可・認定等を受けた日付</t>
  </si>
  <si>
    <t>**wskakunin_kyoka01_JOUKOU</t>
  </si>
  <si>
    <t>**wskakunin_kyoka01_HOUREI</t>
  </si>
  <si>
    <t>**wskakunin_kyoka01_KYOKA_NO</t>
  </si>
  <si>
    <t>**wskakunin_kyoka01_KYOKA_DATE</t>
  </si>
  <si>
    <t>**wskakunin_kyoka01_BIKOU</t>
  </si>
  <si>
    <t>**wskakunin_kyoka02_HOUREI</t>
  </si>
  <si>
    <t>**wskakunin_kyoka02_JOUKOU</t>
  </si>
  <si>
    <t>**wskakunin_kyoka02_KYOKA_NO</t>
  </si>
  <si>
    <t>**wskakunin_kyoka02_KYOKA_DATE</t>
  </si>
  <si>
    <t>**wskakunin_kyoka02_BIKOU</t>
  </si>
  <si>
    <t>**wskakunin_kyoka03_HOUREI</t>
  </si>
  <si>
    <t>**wskakunin_kyoka03_JOUKOU</t>
  </si>
  <si>
    <t>**wskakunin_kyoka03_KYOKA_NO</t>
  </si>
  <si>
    <t>**wskakunin_kyoka03_KYOKA_DATE</t>
  </si>
  <si>
    <t>**wskakunin_kyoka03_BIKOU</t>
  </si>
  <si>
    <t>一括出力</t>
  </si>
  <si>
    <t>許可01一括出力</t>
  </si>
  <si>
    <t>許可03一括出力</t>
  </si>
  <si>
    <t>許可02一括出力</t>
  </si>
  <si>
    <t>cst_wskakunin_kyoka01_HOUREI</t>
  </si>
  <si>
    <t>cst_wskakunin_kyoka02_HOUREI</t>
  </si>
  <si>
    <t>cst_wskakunin_kyoka03_HOUREI</t>
  </si>
  <si>
    <t>cst_wskakunin_kyoka_HOUREI_all</t>
  </si>
  <si>
    <t>現在、３行対応。</t>
  </si>
  <si>
    <t>**wskakunin_TOKUREI_1</t>
  </si>
  <si>
    <t>**wskakunin_TOKUREI_2</t>
  </si>
  <si>
    <t>**wskakunin_TOKUREI_3</t>
  </si>
  <si>
    <t>**wskakunin_TOKUREI_4</t>
  </si>
  <si>
    <t>**wskakunin_KENTIKU_NINSYO_NO</t>
  </si>
  <si>
    <t>**wskakunin_BUILD_ADDRESS</t>
  </si>
  <si>
    <t>cst_wskakunin_BUILD_ADDRESS</t>
  </si>
  <si>
    <t>-都道府県</t>
  </si>
  <si>
    <t>-住所</t>
  </si>
  <si>
    <t>**wskakunin_BUILD_JYUKYO__address</t>
  </si>
  <si>
    <t>**wskakunin_BUILD_JYUKYO_KEN__ken</t>
  </si>
  <si>
    <t>cst_wskakunin_BUILD_JYUKYO__address</t>
  </si>
  <si>
    <t>cst_wskakunin_BUILD_JYUKYO_KEN__ken</t>
  </si>
  <si>
    <t>建築物全体</t>
  </si>
  <si>
    <t>地階の住宅</t>
  </si>
  <si>
    <t>エレベーター</t>
  </si>
  <si>
    <t>共同住宅の共用</t>
  </si>
  <si>
    <t>自動車車庫等の部分</t>
  </si>
  <si>
    <t>備蓄倉庫の部分</t>
  </si>
  <si>
    <t>蓄電池の設置部分</t>
  </si>
  <si>
    <t>自家発電設備</t>
  </si>
  <si>
    <t>貯水槽の設置部分</t>
  </si>
  <si>
    <t>住宅の部分</t>
  </si>
  <si>
    <t>老人ホーム</t>
  </si>
  <si>
    <t>延べ面積</t>
  </si>
  <si>
    <t>**wskakunin_TOKUTEI_KOUTEI</t>
  </si>
  <si>
    <t>**wskakunin_TOKUTEI_KOUJI_KANRYOU_DATE</t>
  </si>
  <si>
    <t>**wskakunin_KENSA_YUKA_MENSEKI</t>
  </si>
  <si>
    <t>**wskakunin_koutei_izen01_KOUTEI_KAISUU</t>
  </si>
  <si>
    <t>**wskakunin_koutei_izen01_KOUTEI_TEXT</t>
  </si>
  <si>
    <t>**wskakunin_koutei_izen01_INTER_ISSUE_NAME</t>
  </si>
  <si>
    <t>**wskakunin_koutei_izen01_INTER_ISSUE_NO</t>
  </si>
  <si>
    <t>**wskakunin_koutei_izen01_INTER_ISSUE_DATE</t>
  </si>
  <si>
    <t>**wskakunin_koutei_izen02_KOUTEI_KAISUU</t>
  </si>
  <si>
    <t>**wskakunin_koutei_izen02_KOUTEI_TEXT</t>
  </si>
  <si>
    <t>**wskakunin_koutei_izen02_INTER_ISSUE_NAME</t>
  </si>
  <si>
    <t>**wskakunin_koutei_izen02_INTER_ISSUE_NO</t>
  </si>
  <si>
    <t>**wskakunin_koutei_izen02_INTER_ISSUE_DATE</t>
  </si>
  <si>
    <t>**wskakunin_koutei_ikou01_KOUTEI_KAISUU</t>
  </si>
  <si>
    <t>**wskakunin_koutei_ikou01_KOUTEI_TEXT</t>
  </si>
  <si>
    <t>**wskakunin_koutei_ikou01_KOUTEI_DATE</t>
  </si>
  <si>
    <t>**wskakunin_koutei_ikou02_KOUTEI_KAISUU</t>
  </si>
  <si>
    <t>**wskakunin_koutei_ikou02_KOUTEI_TEXT</t>
  </si>
  <si>
    <t>**wskakunin_koutei_ikou02_KOUTEI_DATE</t>
  </si>
  <si>
    <t>**wskakunin_sekkei1_TOUROKU_KIKAN__label</t>
  </si>
  <si>
    <t>**wskakunin_sekkei1_JIMU_TOUROKU_KIKAN__label</t>
  </si>
  <si>
    <t>**wskakunin_sekkei2_TOUROKU_KIKAN__label</t>
  </si>
  <si>
    <t>**wskakunin_sekkei2_JIMU_TOUROKU_KIKAN__label</t>
  </si>
  <si>
    <t>**wskakunin_sekkei3_TOUROKU_KIKAN__label</t>
  </si>
  <si>
    <t>**wskakunin_sekkei3_JIMU_TOUROKU_KIKAN__label</t>
  </si>
  <si>
    <t>**wskakunin_sekkei4_TOUROKU_KIKAN__label</t>
  </si>
  <si>
    <t>**wskakunin_sekkei4_JIMU_TOUROKU_KIKAN__label</t>
  </si>
  <si>
    <t>**wskakunin_kanri1_TOUROKU_KIKAN__label</t>
  </si>
  <si>
    <t>**wskakunin_kanri1_JIMU_TOUROKU_KIKAN__label</t>
  </si>
  <si>
    <t>**wskakunin_kanri2_TOUROKU_KIKAN__label</t>
  </si>
  <si>
    <t>**wskakunin_kanri2_JIMU_TOUROKU_KIKAN__label</t>
  </si>
  <si>
    <t>**wskakunin_kanri3_TOUROKU_KIKAN__label</t>
  </si>
  <si>
    <t>**wskakunin_kanri3_JIMU_TOUROKU_KIKAN__label</t>
  </si>
  <si>
    <t>**wskakunin_kanri4_TOUROKU_KIKAN__label</t>
  </si>
  <si>
    <t>**wskakunin_kanri4_JIMU_TOUROKU_KIKAN__label</t>
  </si>
  <si>
    <t>cst_wskakunin_iken1_NAME</t>
  </si>
  <si>
    <t>cst_wskakunin_iken1__address</t>
  </si>
  <si>
    <t>cst_wskakunin_iken1_TEL</t>
  </si>
  <si>
    <t>cst_wskakunin_iken1_DOC</t>
  </si>
  <si>
    <t>**wskakunin_iken1_NAME</t>
  </si>
  <si>
    <t>**wskakunin_iken1_JIMU_NAME</t>
  </si>
  <si>
    <t>**wskakunin_iken1_ZIP</t>
  </si>
  <si>
    <t>**wskakunin_iken1__address</t>
  </si>
  <si>
    <t>**wskakunin_iken1_TEL</t>
  </si>
  <si>
    <t>**wskakunin_iken1_IKEN_NO</t>
  </si>
  <si>
    <t>**wskakunin_iken1_DOC</t>
  </si>
  <si>
    <t>cst_wskakunin_iken1_JIMU_NAME</t>
  </si>
  <si>
    <t>cst_wskakunin_iken1_ZIP</t>
  </si>
  <si>
    <t>cst_wskakunin_iken1_IKEN_NO</t>
  </si>
  <si>
    <t>cst_wskakunin_iken2_NAME</t>
  </si>
  <si>
    <t>cst_wskakunin_iken2__address</t>
  </si>
  <si>
    <t>cst_wskakunin_iken2_TEL</t>
  </si>
  <si>
    <t>cst_wskakunin_iken2_DOC</t>
  </si>
  <si>
    <t>cst_wskakunin_iken2_JIMU_NAME</t>
  </si>
  <si>
    <t>cst_wskakunin_iken2_ZIP</t>
  </si>
  <si>
    <t>cst_wskakunin_iken2_IKEN_NO</t>
  </si>
  <si>
    <t>**wskakunin_iken2_NAME</t>
  </si>
  <si>
    <t>**wskakunin_iken2_JIMU_NAME</t>
  </si>
  <si>
    <t>**wskakunin_iken2_ZIP</t>
  </si>
  <si>
    <t>**wskakunin_iken2__address</t>
  </si>
  <si>
    <t>**wskakunin_iken2_TEL</t>
  </si>
  <si>
    <t>**wskakunin_iken2_IKEN_NO</t>
  </si>
  <si>
    <t>**wskakunin_iken2_DOC</t>
  </si>
  <si>
    <t>**wskakunin_dairi1_JIMU_TOUROKU_KIKAN__label</t>
  </si>
  <si>
    <t>**wskakunin_dairi1_TOUROKU_KIKAN__label</t>
  </si>
  <si>
    <t>cst_wskakunin_iken3_NAME</t>
  </si>
  <si>
    <t>cst_wskakunin_iken3_JIMU_NAME</t>
  </si>
  <si>
    <t>cst_wskakunin_iken3_ZIP</t>
  </si>
  <si>
    <t>cst_wskakunin_iken3__address</t>
  </si>
  <si>
    <t>cst_wskakunin_iken3_TEL</t>
  </si>
  <si>
    <t>cst_wskakunin_iken3_IKEN_NO</t>
  </si>
  <si>
    <t>cst_wskakunin_iken3_DOC</t>
  </si>
  <si>
    <t>cst_wskakunin_iken4_NAME</t>
  </si>
  <si>
    <t>cst_wskakunin_iken4_JIMU_NAME</t>
  </si>
  <si>
    <t>cst_wskakunin_iken4_ZIP</t>
  </si>
  <si>
    <t>cst_wskakunin_iken4__address</t>
  </si>
  <si>
    <t>cst_wskakunin_iken4_TEL</t>
  </si>
  <si>
    <t>cst_wskakunin_iken4_IKEN_NO</t>
  </si>
  <si>
    <t>cst_wskakunin_iken4_DOC</t>
  </si>
  <si>
    <t>**wskakunin_iken3_NAME</t>
  </si>
  <si>
    <t>**wskakunin_iken3_JIMU_NAME</t>
  </si>
  <si>
    <t>**wskakunin_iken3_ZIP</t>
  </si>
  <si>
    <t>**wskakunin_iken3__address</t>
  </si>
  <si>
    <t>**wskakunin_iken3_TEL</t>
  </si>
  <si>
    <t>**wskakunin_iken3_IKEN_NO</t>
  </si>
  <si>
    <t>**wskakunin_iken3_DOC</t>
  </si>
  <si>
    <t>**wskakunin_iken4_NAME</t>
  </si>
  <si>
    <t>**wskakunin_iken4_JIMU_NAME</t>
  </si>
  <si>
    <t>**wskakunin_iken4_ZIP</t>
  </si>
  <si>
    <t>**wskakunin_iken4__address</t>
  </si>
  <si>
    <t>**wskakunin_iken4_TEL</t>
  </si>
  <si>
    <t>**wskakunin_iken4_IKEN_NO</t>
  </si>
  <si>
    <t>**wskakunin_iken4_DOC</t>
  </si>
  <si>
    <t>**wskakunin_sekou1_SEKOU_NO</t>
  </si>
  <si>
    <t>建設業の資格一括</t>
  </si>
  <si>
    <t>cst_wskakunin_sekou1_SEKOU_SIKAKU</t>
  </si>
  <si>
    <t>cst_wskakunin_sekou1_SEKOU_NO</t>
  </si>
  <si>
    <t>**wskakunin_sekou1_SEKOU_SIKAKU__label</t>
  </si>
  <si>
    <t>cst_wskakunin_kanri4_JIMU_SIKAKU</t>
  </si>
  <si>
    <t>cst_wskakunin_kanri1_SIKAKU</t>
  </si>
  <si>
    <t>cst_wskakunin_kanri1_JIMU_SIKAKU</t>
  </si>
  <si>
    <t>cst_wskakunin_kanri2_SIKAKU</t>
  </si>
  <si>
    <t>cst_wskakunin_kanri2_JIMU_SIKAKU</t>
  </si>
  <si>
    <t>cst_wskakunin_kanri3_SIKAKU</t>
  </si>
  <si>
    <t>cst_wskakunin_kanri3_JIMU_SIKAKU</t>
  </si>
  <si>
    <t>cst_wskakunin_kanri4_SIKAKU</t>
  </si>
  <si>
    <t>cst_wskakunin_dairi1_JIMU_SIKAKU</t>
  </si>
  <si>
    <t>cst_wskakunin_sekkei1_JIMU_SIKAKU</t>
  </si>
  <si>
    <t>cst_wskakunin_sekkei2_JIMU_SIKAKU</t>
  </si>
  <si>
    <t>cst_wskakunin_sekkei3_JIMU_SIKAKU</t>
  </si>
  <si>
    <t>cst_wskakunin_sekkei4_JIMU_SIKAKU</t>
  </si>
  <si>
    <t>建築主2</t>
  </si>
  <si>
    <t>建築主3</t>
  </si>
  <si>
    <t>建築主4</t>
  </si>
  <si>
    <t>建築主5</t>
  </si>
  <si>
    <t>建築主6</t>
  </si>
  <si>
    <t>建築主7</t>
  </si>
  <si>
    <t>建築主8</t>
  </si>
  <si>
    <t>建築主9</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</si>
  <si>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</si>
  <si>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</si>
  <si>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</si>
  <si>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</si>
  <si>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</si>
  <si>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</si>
  <si>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</si>
  <si>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</si>
  <si>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</si>
  <si>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</si>
  <si>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</si>
  <si>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</si>
  <si>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</si>
  <si>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</si>
  <si>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</si>
  <si>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**wskakunin_owner2_TEL</t>
  </si>
  <si>
    <t>cst_wskakunin_owner2_TEL</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</si>
  <si>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</si>
  <si>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</si>
  <si>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</si>
  <si>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</si>
  <si>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</si>
  <si>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</si>
  <si>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</si>
  <si>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</si>
  <si>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</si>
  <si>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</si>
  <si>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</si>
  <si>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</si>
  <si>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</si>
  <si>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</si>
  <si>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</si>
  <si>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</si>
  <si>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</si>
  <si>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</si>
  <si>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</si>
  <si>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</si>
  <si>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</si>
  <si>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</si>
  <si>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</si>
  <si>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</si>
  <si>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</si>
  <si>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</si>
  <si>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</si>
  <si>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</si>
  <si>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</si>
  <si>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</si>
  <si>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</si>
  <si>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</si>
  <si>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</si>
  <si>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</si>
  <si>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</si>
  <si>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</si>
  <si>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</si>
  <si>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</si>
  <si>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</si>
  <si>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</si>
  <si>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</si>
  <si>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</si>
  <si>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</si>
  <si>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</si>
  <si>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</si>
  <si>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</si>
  <si>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</si>
  <si>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</si>
  <si>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</si>
  <si>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</si>
  <si>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</si>
  <si>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</si>
  <si>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</si>
  <si>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</si>
  <si>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</si>
  <si>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</si>
  <si>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</si>
  <si>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</si>
  <si>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</si>
  <si>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</si>
  <si>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</si>
  <si>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</si>
  <si>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</si>
  <si>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</si>
  <si>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</si>
  <si>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</si>
  <si>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</si>
  <si>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</si>
  <si>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</si>
  <si>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</si>
  <si>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</si>
  <si>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</si>
  <si>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</si>
  <si>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</si>
  <si>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</si>
  <si>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</si>
  <si>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</si>
  <si>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</si>
  <si>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</si>
  <si>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</si>
  <si>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</si>
  <si>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</si>
  <si>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</si>
  <si>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</si>
  <si>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</si>
  <si>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</si>
  <si>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</si>
  <si>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</si>
  <si>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</si>
  <si>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</si>
  <si>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</si>
  <si>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</si>
  <si>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</si>
  <si>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</si>
  <si>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</si>
  <si>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</si>
  <si>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</si>
  <si>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</si>
  <si>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</si>
  <si>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</si>
  <si>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</si>
  <si>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</si>
  <si>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</si>
  <si>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</si>
  <si>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</si>
  <si>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</si>
  <si>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</si>
  <si>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</si>
  <si>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</si>
  <si>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</si>
  <si>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</si>
  <si>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</si>
  <si>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</si>
  <si>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</si>
  <si>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</si>
  <si>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</si>
  <si>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</si>
  <si>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</si>
  <si>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</si>
  <si>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</si>
  <si>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</si>
  <si>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</si>
  <si>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</si>
  <si>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</si>
  <si>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</si>
  <si>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</si>
  <si>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代理者2</t>
  </si>
  <si>
    <t>代理者3</t>
  </si>
  <si>
    <t>代理者4</t>
  </si>
  <si>
    <t>代理者5</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</si>
  <si>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</si>
  <si>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</si>
  <si>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</si>
  <si>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</si>
  <si>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</si>
  <si>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</si>
  <si>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</si>
  <si>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</si>
  <si>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</si>
  <si>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</si>
  <si>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</si>
  <si>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</si>
  <si>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</si>
  <si>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</si>
  <si>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</si>
  <si>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</si>
  <si>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</si>
  <si>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</si>
  <si>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</si>
  <si>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</si>
  <si>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</si>
  <si>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</si>
  <si>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</si>
  <si>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</si>
  <si>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</si>
  <si>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</si>
  <si>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</si>
  <si>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</si>
  <si>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</si>
  <si>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</si>
  <si>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</si>
  <si>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</si>
  <si>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</si>
  <si>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</si>
  <si>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</si>
  <si>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</si>
  <si>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</si>
  <si>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</si>
  <si>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</si>
  <si>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</si>
  <si>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</si>
  <si>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</si>
  <si>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</si>
  <si>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</si>
  <si>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</si>
  <si>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</si>
  <si>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</si>
  <si>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</si>
  <si>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</si>
  <si>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</si>
  <si>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</si>
  <si>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</si>
  <si>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</si>
  <si>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</si>
  <si>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</si>
  <si>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</si>
  <si>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</si>
  <si>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</si>
  <si>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</si>
  <si>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</si>
  <si>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</si>
  <si>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</si>
  <si>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</si>
  <si>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</si>
  <si>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</si>
  <si>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</si>
  <si>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</si>
  <si>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</si>
  <si>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</si>
  <si>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</si>
  <si>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</si>
  <si>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</si>
  <si>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</si>
  <si>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</si>
  <si>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</si>
  <si>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</si>
  <si>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</si>
  <si>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</si>
  <si>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</si>
  <si>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</si>
  <si>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</si>
  <si>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</si>
  <si>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</si>
  <si>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</si>
  <si>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</si>
  <si>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</si>
  <si>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</si>
  <si>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</si>
  <si>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</si>
  <si>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</si>
  <si>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</si>
  <si>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</si>
  <si>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</si>
  <si>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</si>
  <si>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</si>
  <si>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</si>
  <si>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</si>
  <si>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</si>
  <si>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</si>
  <si>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</si>
  <si>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</si>
  <si>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</si>
  <si>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</si>
  <si>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</si>
  <si>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</si>
  <si>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</si>
  <si>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</si>
  <si>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</si>
  <si>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</si>
  <si>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</si>
  <si>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</si>
  <si>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</si>
  <si>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</si>
  <si>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</si>
  <si>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</si>
  <si>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</si>
  <si>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</si>
  <si>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</si>
  <si>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</si>
  <si>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</si>
  <si>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</si>
  <si>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</si>
  <si>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</si>
  <si>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</si>
  <si>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</si>
  <si>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</si>
  <si>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</si>
  <si>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</si>
  <si>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</si>
  <si>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</si>
  <si>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</si>
  <si>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</si>
  <si>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</si>
  <si>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</si>
  <si>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</si>
  <si>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</si>
  <si>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</si>
  <si>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</si>
  <si>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</si>
  <si>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</si>
  <si>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</si>
  <si>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</si>
  <si>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</si>
  <si>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</si>
  <si>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</si>
  <si>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</si>
  <si>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</si>
  <si>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</si>
  <si>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</si>
  <si>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</si>
  <si>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</si>
  <si>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</si>
  <si>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</si>
  <si>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</si>
  <si>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</si>
  <si>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</si>
  <si>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</si>
  <si>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</si>
  <si>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</si>
  <si>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</si>
  <si>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</si>
  <si>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</si>
  <si>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</si>
  <si>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</si>
  <si>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</si>
  <si>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</si>
  <si>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</si>
  <si>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</si>
  <si>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</si>
  <si>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</si>
  <si>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</si>
  <si>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</si>
  <si>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</si>
  <si>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</si>
  <si>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</si>
  <si>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</si>
  <si>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</si>
  <si>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</si>
  <si>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</si>
  <si>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</si>
  <si>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</si>
  <si>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</si>
  <si>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</si>
  <si>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</si>
  <si>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</si>
  <si>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</si>
  <si>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</si>
  <si>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</si>
  <si>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</si>
  <si>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</si>
  <si>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</si>
  <si>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</si>
  <si>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</si>
  <si>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</si>
  <si>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</si>
  <si>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</si>
  <si>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</si>
  <si>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</si>
  <si>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</si>
  <si>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</si>
  <si>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</si>
  <si>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</si>
  <si>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</si>
  <si>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</si>
  <si>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</si>
  <si>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</si>
  <si>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</si>
  <si>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</si>
  <si>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</si>
  <si>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</si>
  <si>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</si>
  <si>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</si>
  <si>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</si>
  <si>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</si>
  <si>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</si>
  <si>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</si>
  <si>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</si>
  <si>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</si>
  <si>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</si>
  <si>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</si>
  <si>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</si>
  <si>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</si>
  <si>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</si>
  <si>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</si>
  <si>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</si>
  <si>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</si>
  <si>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</si>
  <si>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</si>
  <si>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</si>
  <si>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</si>
  <si>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</si>
  <si>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</si>
  <si>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</si>
  <si>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</si>
  <si>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</si>
  <si>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</si>
  <si>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</si>
  <si>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</si>
  <si>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</si>
  <si>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</si>
  <si>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</si>
  <si>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</si>
  <si>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</si>
  <si>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</si>
  <si>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</si>
  <si>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</si>
  <si>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</si>
  <si>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</si>
  <si>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</si>
  <si>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</si>
  <si>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</si>
  <si>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</si>
  <si>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</si>
  <si>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</si>
  <si>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</si>
  <si>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</si>
  <si>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</si>
  <si>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</si>
  <si>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</si>
  <si>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</si>
  <si>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</si>
  <si>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</si>
  <si>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</si>
  <si>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</si>
  <si>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</si>
  <si>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</si>
  <si>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</si>
  <si>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</si>
  <si>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</si>
  <si>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</si>
  <si>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</si>
  <si>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</si>
  <si>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</si>
  <si>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</si>
  <si>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</si>
  <si>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</si>
  <si>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</si>
  <si>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</si>
  <si>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</si>
  <si>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</si>
  <si>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</si>
  <si>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</si>
  <si>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</si>
  <si>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</si>
  <si>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</si>
  <si>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</si>
  <si>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</si>
  <si>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</si>
  <si>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</si>
  <si>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</si>
  <si>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</si>
  <si>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</si>
  <si>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</si>
  <si>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</si>
  <si>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</si>
  <si>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</si>
  <si>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</si>
  <si>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</si>
  <si>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</si>
  <si>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</si>
  <si>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</si>
  <si>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</si>
  <si>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</si>
  <si>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</si>
  <si>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</si>
  <si>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</si>
  <si>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</si>
  <si>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</si>
  <si>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</si>
  <si>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</si>
  <si>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</si>
  <si>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</si>
  <si>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</si>
  <si>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</si>
  <si>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</si>
  <si>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</si>
  <si>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</si>
  <si>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</si>
  <si>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</si>
  <si>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</si>
  <si>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</si>
  <si>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</si>
  <si>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</si>
  <si>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</si>
  <si>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</si>
  <si>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</si>
  <si>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</si>
  <si>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</si>
  <si>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設計者11</t>
  </si>
  <si>
    <t>設計者6</t>
  </si>
  <si>
    <t>設計者7</t>
  </si>
  <si>
    <t>設計者8</t>
  </si>
  <si>
    <t>設計者9</t>
  </si>
  <si>
    <t>設計者10</t>
  </si>
  <si>
    <t>（その他の工事監理者）</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</si>
  <si>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</si>
  <si>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</si>
  <si>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</si>
  <si>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</si>
  <si>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</si>
  <si>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</si>
  <si>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</si>
  <si>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</si>
  <si>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</si>
  <si>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</si>
  <si>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</si>
  <si>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</si>
  <si>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</si>
  <si>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</si>
  <si>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</si>
  <si>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</si>
  <si>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</si>
  <si>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</si>
  <si>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</si>
  <si>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</si>
  <si>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</si>
  <si>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</si>
  <si>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</si>
  <si>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</si>
  <si>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</si>
  <si>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</si>
  <si>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</si>
  <si>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</si>
  <si>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</si>
  <si>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</si>
  <si>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</si>
  <si>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</si>
  <si>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</si>
  <si>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</si>
  <si>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</si>
  <si>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</si>
  <si>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</si>
  <si>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</si>
  <si>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</si>
  <si>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</si>
  <si>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</si>
  <si>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</si>
  <si>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</si>
  <si>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</si>
  <si>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</si>
  <si>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</si>
  <si>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</si>
  <si>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</si>
  <si>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</si>
  <si>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</si>
  <si>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</si>
  <si>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</si>
  <si>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</si>
  <si>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</si>
  <si>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</si>
  <si>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</si>
  <si>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</si>
  <si>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</si>
  <si>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</si>
  <si>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</si>
  <si>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</si>
  <si>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</si>
  <si>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</si>
  <si>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</si>
  <si>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</si>
  <si>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</si>
  <si>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</si>
  <si>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</si>
  <si>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</si>
  <si>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</si>
  <si>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</si>
  <si>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</si>
  <si>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</si>
  <si>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</si>
  <si>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</si>
  <si>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</si>
  <si>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</si>
  <si>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</si>
  <si>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</si>
  <si>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</si>
  <si>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</si>
  <si>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</si>
  <si>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</si>
  <si>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</si>
  <si>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</si>
  <si>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</si>
  <si>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</si>
  <si>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</si>
  <si>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</si>
  <si>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</si>
  <si>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</si>
  <si>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</si>
  <si>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</si>
  <si>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</si>
  <si>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</si>
  <si>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</si>
  <si>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</si>
  <si>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</si>
  <si>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</si>
  <si>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</si>
  <si>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</si>
  <si>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</si>
  <si>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</si>
  <si>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</si>
  <si>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</si>
  <si>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</si>
  <si>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</si>
  <si>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</si>
  <si>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</si>
  <si>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</si>
  <si>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</si>
  <si>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</si>
  <si>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</si>
  <si>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</si>
  <si>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</si>
  <si>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</si>
  <si>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</si>
  <si>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</si>
  <si>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</si>
  <si>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</si>
  <si>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</si>
  <si>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</si>
  <si>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</si>
  <si>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</si>
  <si>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</si>
  <si>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</si>
  <si>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</si>
  <si>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</si>
  <si>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</si>
  <si>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</si>
  <si>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</si>
  <si>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</si>
  <si>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</si>
  <si>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</si>
  <si>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</si>
  <si>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</si>
  <si>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</si>
  <si>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</si>
  <si>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</si>
  <si>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</si>
  <si>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</si>
  <si>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</si>
  <si>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</si>
  <si>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</si>
  <si>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</si>
  <si>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</si>
  <si>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</si>
  <si>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</si>
  <si>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</si>
  <si>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</si>
  <si>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</si>
  <si>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</si>
  <si>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</si>
  <si>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</si>
  <si>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</si>
  <si>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</si>
  <si>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</si>
  <si>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</si>
  <si>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</si>
  <si>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</si>
  <si>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</si>
  <si>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</si>
  <si>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</si>
  <si>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</si>
  <si>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</si>
  <si>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</si>
  <si>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</si>
  <si>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</si>
  <si>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</si>
  <si>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</si>
  <si>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</si>
  <si>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</si>
  <si>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</si>
  <si>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</si>
  <si>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</si>
  <si>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</si>
  <si>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</si>
  <si>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</si>
  <si>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</si>
  <si>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</si>
  <si>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</si>
  <si>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</si>
  <si>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</si>
  <si>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</si>
  <si>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</si>
  <si>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</si>
  <si>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</si>
  <si>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</si>
  <si>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</si>
  <si>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</si>
  <si>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</si>
  <si>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</si>
  <si>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</si>
  <si>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</si>
  <si>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</si>
  <si>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</si>
  <si>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監理者5</t>
  </si>
  <si>
    <t>監理者6</t>
  </si>
  <si>
    <t>監理者7</t>
  </si>
  <si>
    <t>監理者8</t>
  </si>
  <si>
    <t>監理者9</t>
  </si>
  <si>
    <t>監理者10</t>
  </si>
  <si>
    <t>監理者11</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</si>
  <si>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</si>
  <si>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</si>
  <si>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</si>
  <si>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</si>
  <si>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</si>
  <si>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</si>
  <si>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</si>
  <si>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</si>
  <si>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</si>
  <si>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</si>
  <si>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</si>
  <si>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</si>
  <si>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</si>
  <si>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</si>
  <si>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</si>
  <si>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</si>
  <si>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</si>
  <si>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</si>
  <si>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</si>
  <si>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</si>
  <si>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</si>
  <si>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</si>
  <si>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</si>
  <si>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</si>
  <si>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</si>
  <si>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</si>
  <si>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</si>
  <si>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</si>
  <si>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</si>
  <si>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</si>
  <si>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</si>
  <si>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</si>
  <si>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</si>
  <si>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</si>
  <si>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</si>
  <si>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</si>
  <si>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</si>
  <si>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</si>
  <si>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</si>
  <si>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</si>
  <si>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</si>
  <si>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</si>
  <si>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</si>
  <si>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</si>
  <si>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</si>
  <si>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</si>
  <si>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</si>
  <si>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</si>
  <si>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</si>
  <si>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</si>
  <si>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</si>
  <si>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</si>
  <si>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</si>
  <si>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</si>
  <si>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</si>
  <si>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</si>
  <si>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</si>
  <si>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</si>
  <si>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</si>
  <si>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</si>
  <si>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</si>
  <si>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</si>
  <si>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</si>
  <si>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</si>
  <si>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</si>
  <si>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</si>
  <si>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</si>
  <si>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</si>
  <si>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</si>
  <si>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</si>
  <si>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</si>
  <si>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</si>
  <si>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</si>
  <si>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</si>
  <si>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</si>
  <si>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</si>
  <si>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</si>
  <si>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</si>
  <si>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</si>
  <si>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</si>
  <si>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施工者2</t>
  </si>
  <si>
    <t>施工者3</t>
  </si>
  <si>
    <t>施工者4</t>
  </si>
  <si>
    <t>施工者5</t>
  </si>
  <si>
    <t>施工者6</t>
  </si>
  <si>
    <t>wskakunin_keibi_henkou01_</t>
  </si>
  <si>
    <t>**wskakunin_keibi_henkou01_HENKOU_SYURUI</t>
  </si>
  <si>
    <t>**wskakunin_keibi_henkou01_HENKOU_GAIYOU</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</si>
  <si>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</si>
  <si>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</si>
  <si>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</si>
  <si>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</si>
  <si>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</si>
  <si>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</si>
  <si>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</si>
  <si>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</si>
  <si>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</si>
  <si>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</si>
  <si>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</si>
  <si>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</si>
  <si>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</si>
  <si>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</si>
  <si>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</si>
  <si>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</si>
  <si>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</si>
  <si>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</si>
  <si>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</si>
  <si>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</si>
  <si>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</si>
  <si>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</si>
  <si>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</si>
  <si>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</si>
  <si>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</si>
  <si>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</si>
  <si>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</si>
  <si>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</si>
  <si>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</si>
  <si>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設計者12</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</si>
  <si>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</si>
  <si>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</si>
  <si>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</si>
  <si>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</si>
  <si>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</si>
  <si>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</si>
  <si>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</si>
  <si>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</si>
  <si>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</si>
  <si>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</si>
  <si>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</si>
  <si>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</si>
  <si>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</si>
  <si>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</si>
  <si>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</si>
  <si>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</si>
  <si>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</si>
  <si>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</si>
  <si>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</si>
  <si>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</si>
  <si>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</si>
  <si>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</si>
  <si>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</si>
  <si>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</si>
  <si>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</si>
  <si>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</si>
  <si>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</si>
  <si>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</si>
  <si>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</si>
  <si>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工事種別一括出力</t>
  </si>
  <si>
    <t>中間・完了のみ</t>
  </si>
  <si>
    <t>確認・計変のみ</t>
  </si>
  <si>
    <t>第二面 備考</t>
  </si>
  <si>
    <t>**wskakunin_P2_BIKOU</t>
  </si>
  <si>
    <t>cst_wskakunin_P2_BIKOU</t>
  </si>
  <si>
    <t>文字出力</t>
  </si>
  <si>
    <t>cst_wskakunin_TOKUREI_txt</t>
  </si>
  <si>
    <t>cst_wskakunin_KOUJI_SINTIKU_box</t>
  </si>
  <si>
    <t>cst_wskakunin_KOUJI_ZOUTIKU_box</t>
  </si>
  <si>
    <t>cst_wskakunin_KOUJI_KAITIKU_box</t>
  </si>
  <si>
    <t>cst_wskakunin_KOUJI_ITEN_box</t>
  </si>
  <si>
    <t>cst_wskakunin_KOUJI_YOUTOHENKOU_box</t>
  </si>
  <si>
    <t>cst_wskakunin_KOUJI_DAI_SYUUZEN_box</t>
  </si>
  <si>
    <t>cst_wskakunin_KOUJI_DAI_MOYOUGAE_box</t>
  </si>
  <si>
    <t>cst_wskakunin_KENTIKU_NINSYO_NO</t>
  </si>
  <si>
    <t>**wskakunin_KOUJI_TYAKUSYU_DATE</t>
  </si>
  <si>
    <t>**wskakunin_KOUJI_KANRYOU_DATE</t>
  </si>
  <si>
    <t>※ 確認時：出力しない</t>
  </si>
  <si>
    <t>※ 中間1枚目 - 確認時：特定工程2があれば出力</t>
  </si>
  <si>
    <t>select （ 1枚目と2枚目の処理が必要 ）</t>
  </si>
  <si>
    <t xml:space="preserve"> - 中間1枚目</t>
  </si>
  <si>
    <t xml:space="preserve"> - 中間2枚目</t>
  </si>
  <si>
    <t xml:space="preserve"> - 回数</t>
  </si>
  <si>
    <t xml:space="preserve"> - 【ｲ.特定工程】</t>
  </si>
  <si>
    <t xml:space="preserve"> - 【ﾛ.中間検査合格証交付者】</t>
  </si>
  <si>
    <t xml:space="preserve"> - 【ﾊ.中間検査合格証番号】</t>
  </si>
  <si>
    <t xml:space="preserve"> - 【ﾆ.交付年月日】</t>
  </si>
  <si>
    <t>確認時の中間申請書出力処理用</t>
  </si>
  <si>
    <t>確認時 - 特定工程1の入力あり</t>
  </si>
  <si>
    <t>確認時 - 特定工程2の入力あり</t>
  </si>
  <si>
    <t>確認時 - 特定工程3の入力あり</t>
  </si>
  <si>
    <t>cst_wskakunin_KOUJI_TYAKUSYU_DATE_select</t>
  </si>
  <si>
    <t>cst_wskakunin_KOUJI_KANRYOU_DATE_select</t>
  </si>
  <si>
    <t>cst_wskakunin_TOKUTEI_KOUTEI</t>
  </si>
  <si>
    <t>cst_wskakunin_TOKUTEI_KOUTEI_inter1</t>
  </si>
  <si>
    <t>cst_wskakunin_TOKUTEI_KOUTEI_inter2</t>
  </si>
  <si>
    <t>cst_wskakunin_TOKUTEI_KOUJI_KANRYOU_DATE_select</t>
  </si>
  <si>
    <t>cst_wskakunin_KENSA_YUKA_MENSEKI_select</t>
  </si>
  <si>
    <t>cst_wskakunin_koutei_izen01_KOUTEI_KAISUU</t>
  </si>
  <si>
    <t>cst_wskakunin_koutei_izen01_KOUTEI_TEXT</t>
  </si>
  <si>
    <t>cst_wskakunin_koutei_izen01_INTER_ISSUE_NAME</t>
  </si>
  <si>
    <t>cst_wskakunin_koutei_izen01_INTER_ISSUE_NO</t>
  </si>
  <si>
    <t>cst_wskakunin_koutei_izen01_INTER_ISSUE_DATE</t>
  </si>
  <si>
    <t>cst_wskakunin_koutei_izen01_KOUTEI_KAISUU_inter1</t>
  </si>
  <si>
    <t>cst_wskakunin_koutei_izen01_KOUTEI_TEXT_inter1</t>
  </si>
  <si>
    <t>cst_wskakunin_koutei_izen01_INTER_ISSUE_NO_inter1</t>
  </si>
  <si>
    <t>cst_wskakunin_koutei_izen01_INTER_ISSUE_DATE_inter1</t>
  </si>
  <si>
    <t>cst_wskakunin_koutei_izen01_INTER_ISSUE_NAME_inter1</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</si>
  <si>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</si>
  <si>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</si>
  <si>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</si>
  <si>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</si>
  <si>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</si>
  <si>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 確認時：特定工程1の入力があれば出力</t>
  </si>
  <si>
    <t>受付システムテーブルから取得した情報（受理後）</t>
  </si>
  <si>
    <t>**wskakunin_SHINSEI_DATE</t>
  </si>
  <si>
    <t>cst_wskakunin_koutei_izen02_KOUTEI_KAISUU</t>
  </si>
  <si>
    <t>cst_wskakunin_koutei_izen02_KOUTEI_TEXT</t>
  </si>
  <si>
    <t>cst_wskakunin_koutei_izen02_INTER_ISSUE_NAME</t>
  </si>
  <si>
    <t>cst_wskakunin_koutei_izen02_INTER_ISSUE_NO</t>
  </si>
  <si>
    <t>cst_wskakunin_koutei_izen02_INTER_ISSUE_DATE</t>
  </si>
  <si>
    <t>※ 中間2枚目 - 確認時：特定工程3があれば出力</t>
  </si>
  <si>
    <t xml:space="preserve"> - 【ﾛ.特定工程工事終了予定年月日】</t>
  </si>
  <si>
    <t>cst_wskakunin_koutei_ikou01_KOUTEI_KAISUU</t>
  </si>
  <si>
    <t>cst_wskakunin_koutei_ikou01_KOUTEI_TEXT</t>
  </si>
  <si>
    <t>cst_wskakunin_koutei_ikou01_KOUTEI_DATE</t>
  </si>
  <si>
    <t>cst_wskakunin_koutei_ikou01_KOUTEI_DATE_inter1</t>
  </si>
  <si>
    <t>cst_wskakunin_koutei_ikou01_KOUTEI_TEXT_inter2</t>
  </si>
  <si>
    <t>cst_wskakunin_koutei_ikou01_KOUTEI_DATE_inter2</t>
  </si>
  <si>
    <t>cst_wskakunin_koutei_ikou02_KOUTEI_DATE_inter1</t>
  </si>
  <si>
    <t>cst_wskakunin_koutei_ikou02_KOUTEI_TEXT_inter2</t>
  </si>
  <si>
    <t>※ 中間1枚目 - 確認時：特定工程3があれば出力</t>
  </si>
  <si>
    <t>※ 中間2枚目 - 確認時：特定工程4があれば出力</t>
  </si>
  <si>
    <t>cst_wskakunin_koutei_ikou02_KOUTEI_KAISUU</t>
  </si>
  <si>
    <t>cst_wskakunin_koutei_ikou02_KOUTEI_TEXT</t>
  </si>
  <si>
    <t>cst_wskakunin_koutei_ikou02_KOUTEI_DATE</t>
  </si>
  <si>
    <t>cst_wskakunin_keibi_henkou01_HENKOU_SYURUI</t>
  </si>
  <si>
    <t>cst_wskakunin_keibi_henkou01_HENKOU_GAIYOU</t>
  </si>
  <si>
    <t>cst_wskakunin_koutei_ikou01_KOUTEI_KAISUU_inter1</t>
  </si>
  <si>
    <t>cst_wskakunin_koutei_ikou01_KOUTEI_TEXT_inter1</t>
  </si>
  <si>
    <t>cst_wskakunin_koutei_ikou01_KOUTEI_KAISUU_inter2</t>
  </si>
  <si>
    <t>cst_wskakunin_koutei_ikou02_KOUTEI_KAISUU_inter1</t>
  </si>
  <si>
    <t>cst_wskakunin_koutei_ikou02_KOUTEI_TEXT_inter1</t>
  </si>
  <si>
    <t>cst_wskakunin_koutei_ikou02_KOUTEI_KAISUU_inter2</t>
  </si>
  <si>
    <t>cst_wskakunin_koutei_ikou02_KOUTEI_DATE_inter2</t>
  </si>
  <si>
    <t>確認：自分, 検査：直前 ※ 確認は受理後有効</t>
  </si>
  <si>
    <t>cst_ISSUE_NO_select</t>
  </si>
  <si>
    <t>1：確認（確認, 計変）,3：中間, 4：完了</t>
  </si>
  <si>
    <t>chk_JOB_KIND_kakunin</t>
  </si>
  <si>
    <t>基準法の種別判定</t>
  </si>
  <si>
    <t>【9.検査経過】</t>
  </si>
  <si>
    <t xml:space="preserve">【ﾛ.中間検査合格証交付者】 </t>
  </si>
  <si>
    <t>左側：</t>
  </si>
  <si>
    <t>右側：</t>
  </si>
  <si>
    <t>**wskakunin_koutei02_INTER_ISSUE_NAME</t>
  </si>
  <si>
    <t>**wskakunin_koutei02_INTER_ISSUE_NO</t>
  </si>
  <si>
    <t>**wskakunin_koutei02_INTER_ISSUE_DATE</t>
  </si>
  <si>
    <t>**wskakunin_koutei01_INTER_ISSUE_NAME</t>
  </si>
  <si>
    <t>**wskakunin_koutei01_INTER_ISSUE_NO</t>
  </si>
  <si>
    <t>**wskakunin_koutei01_INTER_ISSUE_DATE</t>
  </si>
  <si>
    <t>cst_wskakunin_koutei02_INTER_ISSUE_DATE</t>
  </si>
  <si>
    <t>種別（中間時 - 特定工程別）</t>
  </si>
  <si>
    <t>10：確認（確認, 計変）, 30：中間_前0, 31：中間_前1, 32：中間_前2, 40：完了</t>
  </si>
  <si>
    <t>chk_INTER1_state_in_conf</t>
  </si>
  <si>
    <t>chk_INTER2_state_in_conf</t>
  </si>
  <si>
    <t>chk_INTER3_state_in_conf</t>
  </si>
  <si>
    <t>chk_INTER_state_in_final</t>
  </si>
  <si>
    <t>※ 確認(10)、完了(40)で用いる</t>
  </si>
  <si>
    <t>出力用</t>
  </si>
  <si>
    <t>cst_wskakunin_koutei01_INTER_ISSUE_NAME</t>
  </si>
  <si>
    <t>cst_wskakunin_koutei01_INTER_ISSUE_NO</t>
  </si>
  <si>
    <t>cst_wskakunin_koutei01_INTER_ISSUE_DATE</t>
  </si>
  <si>
    <t>cst_wskakunin_koutei_keika01_INTER_ISSUE_DATE_select</t>
  </si>
  <si>
    <t>cst_wskakunin_koutei_keika01_KOUTEI_KAISUU_select</t>
  </si>
  <si>
    <t>cst_wskakunin_koutei_keika01_KOUTEI_TEXT_select</t>
  </si>
  <si>
    <t>cst_wskakunin_koutei_keika01_INTER_ISSUE_NAME_select</t>
  </si>
  <si>
    <t>cst_wskakunin_koutei_keika01_INTER_ISSUE_NO_select</t>
  </si>
  <si>
    <t>中間1枚目出力用</t>
  </si>
  <si>
    <t>中間2枚目出力用</t>
  </si>
  <si>
    <t>cst_wskakunin_koutei02_INTER_ISSUE_NAME</t>
  </si>
  <si>
    <t>cst_wskakunin_koutei02_INTER_ISSUE_NO</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</si>
  <si>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</si>
  <si>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</si>
  <si>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</si>
  <si>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</si>
  <si>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</si>
  <si>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2</t>
  </si>
  <si>
    <t>4.</t>
  </si>
  <si>
    <t>**wskakunin_koutei_izen03_KOUTEI_KAISUU</t>
  </si>
  <si>
    <t>**wskakunin_koutei_izen03_KOUTEI_TEXT</t>
  </si>
  <si>
    <t>**wskakunin_koutei_izen03_INTER_ISSUE_NAME</t>
  </si>
  <si>
    <t>**wskakunin_koutei_izen03_INTER_ISSUE_NO</t>
  </si>
  <si>
    <t>**wskakunin_koutei_izen03_INTER_ISSUE_DATE</t>
  </si>
  <si>
    <t>**wskakunin_koutei_izen04_KOUTEI_KAISUU</t>
  </si>
  <si>
    <t>**wskakunin_koutei_izen04_KOUTEI_TEXT</t>
  </si>
  <si>
    <t>**wskakunin_koutei_izen04_INTER_ISSUE_NAME</t>
  </si>
  <si>
    <t>**wskakunin_koutei_izen04_INTER_ISSUE_NO</t>
  </si>
  <si>
    <t>**wskakunin_koutei_izen04_INTER_ISSUE_DATE</t>
  </si>
  <si>
    <t>cst_wskakunin_koutei_izen03_KOUTEI_KAISUU</t>
  </si>
  <si>
    <t>cst_wskakunin_koutei_izen03_KOUTEI_TEXT</t>
  </si>
  <si>
    <t>cst_wskakunin_koutei_izen03_INTER_ISSUE_NAME</t>
  </si>
  <si>
    <t>cst_wskakunin_koutei_izen03_INTER_ISSUE_NO</t>
  </si>
  <si>
    <t>cst_wskakunin_koutei_izen03_INTER_ISSUE_DATE</t>
  </si>
  <si>
    <t>cst_wskakunin_koutei_izen04_KOUTEI_KAISUU</t>
  </si>
  <si>
    <t>cst_wskakunin_koutei_izen04_KOUTEI_TEXT</t>
  </si>
  <si>
    <t>cst_wskakunin_koutei_izen04_INTER_ISSUE_NAME</t>
  </si>
  <si>
    <t>cst_wskakunin_koutei_izen04_INTER_ISSUE_NO</t>
  </si>
  <si>
    <t>cst_wskakunin_koutei_izen04_INTER_ISSUE_DATE</t>
  </si>
  <si>
    <t>以前の中間 左側：</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</si>
  <si>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</si>
  <si>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</si>
  <si>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</si>
  <si>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</si>
  <si>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</si>
  <si>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</si>
  <si>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</si>
  <si>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</si>
  <si>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</si>
  <si>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</si>
  <si>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</si>
  <si>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以降の中間 左側：</t>
  </si>
  <si>
    <t>以降の中間 右側：</t>
  </si>
  <si>
    <t>出力条件</t>
  </si>
  <si>
    <t>出力処理</t>
  </si>
  <si>
    <t>cst_koujikikan_year</t>
  </si>
  <si>
    <t>cst_koujikikan_month</t>
  </si>
  <si>
    <t>cst_wskakunin_KOUZOU_mokuzou</t>
  </si>
  <si>
    <t>cst_wskakunin_KOUZOU_zairai</t>
  </si>
  <si>
    <t>宅配ﾎﾞｯｸｽの設置部分</t>
  </si>
  <si>
    <t>**wskakunin_NOBE_MENSEKI_TAKUHAI_SHINSEI</t>
  </si>
  <si>
    <t>**wskakunin_NOBE_MENSEKI_TAKUHAI_IGAI</t>
  </si>
  <si>
    <t>**wskakunin_NOBE_MENSEKI_TAKUHAI_TOTAL</t>
  </si>
  <si>
    <t>cst_wskakunin_NOBE_MENSEKI_TAKUHAI_SHINSEI</t>
  </si>
  <si>
    <t>cst_wskakunin_NOBE_MENSEKI_TAKUHAI_IGAI</t>
  </si>
  <si>
    <t>cst_wskakunin_NOBE_MENSEKI_TAKUHAI_TOTAL</t>
  </si>
  <si>
    <t>日付</t>
  </si>
  <si>
    <t>変更内容</t>
  </si>
  <si>
    <t>三木香澄</t>
  </si>
  <si>
    <t>建築概要一面、築造概要一面の受付欄部分を削除。</t>
  </si>
  <si>
    <t>dSTART</t>
  </si>
  <si>
    <t>種類コード</t>
  </si>
  <si>
    <t>工作物の概要</t>
  </si>
  <si>
    <t>**wskakunin_gaiyou1_WORK_SYURUI_CODE</t>
  </si>
  <si>
    <t>**wskakunin_gaiyou1_WORK_SYURUI</t>
  </si>
  <si>
    <t>**wskakunin_gaiyou1_TAKASA</t>
  </si>
  <si>
    <t>**wskakunin_gaiyou1_KOUZOU</t>
  </si>
  <si>
    <t>cst_wskakunin_gaiyou1_WORK_SYURUI_CODE</t>
  </si>
  <si>
    <t>cst_wskakunin_gaiyou1_WORK_SYURUI</t>
  </si>
  <si>
    <t>cst_wskakunin_gaiyou1_TAKASA</t>
  </si>
  <si>
    <t>cst_wskakunin_gaiyou1_KOUZOU</t>
  </si>
  <si>
    <t>種類</t>
  </si>
  <si>
    <t>高さ</t>
  </si>
  <si>
    <t>昇降機の概要</t>
  </si>
  <si>
    <t>番号</t>
  </si>
  <si>
    <t>種別</t>
  </si>
  <si>
    <t>用途</t>
  </si>
  <si>
    <t>積載荷重</t>
  </si>
  <si>
    <t>最大定員</t>
  </si>
  <si>
    <t>定格速度</t>
  </si>
  <si>
    <t>その他必要な事項</t>
  </si>
  <si>
    <t>認証番号</t>
  </si>
  <si>
    <t>その他必要事項+認証番号</t>
  </si>
  <si>
    <t>**wskakunin_gaiyou1_NO</t>
  </si>
  <si>
    <t>**wskakunin_gaiyou1_EV_KIND</t>
  </si>
  <si>
    <t>**wskakunin_gaiyou1_YOUTO</t>
  </si>
  <si>
    <t>**wskakunin_gaiyou1_SEKISAI</t>
  </si>
  <si>
    <t>**wskakunin_gaiyou1_TEIIN</t>
  </si>
  <si>
    <t>**wskakunin_gaiyou1_SPEED</t>
  </si>
  <si>
    <t>**wskakunin_gaiyou1_SONOTA</t>
  </si>
  <si>
    <t>**wskakunin_gaiyou1_NINSYOU_NO</t>
  </si>
  <si>
    <t>**wskakunin_gaiyou1_SONOTA_and_NINSYOU_NO</t>
  </si>
  <si>
    <t>cst_wskakunin_gaiyou1_NO</t>
  </si>
  <si>
    <t>cst_wskakunin_gaiyou1_EV_KIND</t>
  </si>
  <si>
    <t>cst_wskakunin_gaiyou1_YOUTO</t>
  </si>
  <si>
    <t>cst_wskakunin_gaiyou1_SEKISAI</t>
  </si>
  <si>
    <t>cst_wskakunin_gaiyou1_TEIIN</t>
  </si>
  <si>
    <t>cst_wskakunin_gaiyou1_SPEED</t>
  </si>
  <si>
    <t>cst_wskakunin_gaiyou1_SONOTA</t>
  </si>
  <si>
    <t>cst_wskakunin_gaiyou1_NINSYOU_NO</t>
  </si>
  <si>
    <t>cst_wskakunin_gaiyou1_SONOTA_and_NINSYOU_NO</t>
  </si>
  <si>
    <t>築造、設備概要一面のエラー部分を一部修正</t>
  </si>
  <si>
    <t>築造面積_申請部分</t>
  </si>
  <si>
    <t>築造面積_申請以外の部分</t>
  </si>
  <si>
    <t>築造面積_合計</t>
  </si>
  <si>
    <t>工作物の数_申請部分</t>
  </si>
  <si>
    <t>工作物の数_申請以外部分</t>
  </si>
  <si>
    <t>工作物の数_合計</t>
  </si>
  <si>
    <t>**wskakunin_gaiyou1_TIKUZOU_MENSEKI_SHINSEI</t>
  </si>
  <si>
    <t>**wskakunin_gaiyou1_TIKUZOU_MENSEKI_IGAI</t>
  </si>
  <si>
    <t>**wskakunin_gaiyou1_TIKUZOU_MENSEKI_TOTAL</t>
  </si>
  <si>
    <t>**wskakunin_gaiyou1_WORK_COUNT_SHINSEI</t>
  </si>
  <si>
    <t>**wskakunin_gaiyou1_WORK_COUNT_IGAI</t>
  </si>
  <si>
    <t>**wskakunin_gaiyou1_WORK_COUNT_TOTAL</t>
  </si>
  <si>
    <t>cst_wskakunin_gaiyou1_TIKUZOU_MENSEKI_SHINSEI</t>
  </si>
  <si>
    <t>cst_wskakunin_gaiyou1_TIKUZOU_MENSEKI_IGAI</t>
  </si>
  <si>
    <t>cst_wskakunin_gaiyou1_TIKUZOU_MENSEKI_TOTAL</t>
  </si>
  <si>
    <t>cst_wskakunin_gaiyou1_WORK_COUNT_SHINSEI</t>
  </si>
  <si>
    <t>cst_wskakunin_gaiyou1_WORK_COUNT_IGAI</t>
  </si>
  <si>
    <t>cst_wskakunin_gaiyou1_WORK_COUNT_TOTAL</t>
  </si>
  <si>
    <t>築造、設備概要一面のエラー部分を修正</t>
  </si>
  <si>
    <t>cst_wskakunin_20setubi301_NAMEの式を修正</t>
  </si>
  <si>
    <t>**wskakunin_20kouzou101_KOUZOUSEKKEI_KOUFU_NO</t>
  </si>
  <si>
    <t>cst_wskakunin_20kouzou101_KOUZOUSEKKEI_KOUFU_NO</t>
  </si>
  <si>
    <t>**wskakunin_20kouzou301_KOUZOUSEKKEI_KOUFU_NO</t>
  </si>
  <si>
    <t>cst_wskakunin_20kouzou301_KOUZOUSEKKEI_KOUFU_NO</t>
  </si>
  <si>
    <t>**wskakunin_20setubi101_SETUBISEKKEI_KOUFU_NO</t>
  </si>
  <si>
    <t>cst_wskakunin_20setubi101_SETUBISEKKEI_KOUFU_NO</t>
  </si>
  <si>
    <t>**wskakunin_20setubi102_SETUBISEKKEI_KOUFU_NO</t>
  </si>
  <si>
    <t>cst_wskakunin_20setubi102_SETUBISEKKEI_KOUFU_NO</t>
  </si>
  <si>
    <t>**wskakunin_20setubi103_SETUBISEKKEI_KOUFU_NO</t>
  </si>
  <si>
    <t>cst_wskakunin_20setubi103_SETUBISEKKEI_KOUFU_NO</t>
  </si>
  <si>
    <t>**wskakunin_20setubi301_SETUBISEKKEI_KOUFU_NO</t>
  </si>
  <si>
    <t>cst_wskakunin_20setubi301_SETUBISEKKEI_KOUFU_NO</t>
  </si>
  <si>
    <t>**wskakunin_20setubi302_SETUBISEKKEI_KOUFU_NO</t>
  </si>
  <si>
    <t>cst_wskakunin_20setubi302_SETUBISEKKEI_KOUFU_NO</t>
  </si>
  <si>
    <t>**wskakunin_20setubi303_SETUBISEKKEI_KOUFU_NO</t>
  </si>
  <si>
    <t>cst_wskakunin_20setubi303_SETUBISEKKEI_KOUFU_NO</t>
  </si>
  <si>
    <t>床面積（申請部分）</t>
  </si>
  <si>
    <t>**wskakunin_p4_1_YUKA_MENSEKI_SHINSEI</t>
  </si>
  <si>
    <t>cst_wskakunin_p4_1_YUKA_MENSEKI_SHINSEI</t>
  </si>
  <si>
    <t>**wskakunin_p4_2_KAISU_TIKAI_NOZOKU</t>
  </si>
  <si>
    <t>**wskakunin_p4_3_KAISU_TIKAI</t>
  </si>
  <si>
    <t>**wskakunin_p4_2_KAISU_TIKAI</t>
  </si>
  <si>
    <t>**wskakunin_p4_2_YUKA_MENSEKI_SHINSEI</t>
  </si>
  <si>
    <t>**wskakunin_p4_3_KAISU_TIKAI_NOZOKU</t>
  </si>
  <si>
    <t>**wskakunin_p4_3_YUKA_MENSEKI_SHINSEI</t>
  </si>
  <si>
    <t>cst_wskakunin_p4_2_KAISU_TIKAI_NOZOKU</t>
  </si>
  <si>
    <t>cst_wskakunin_p4_2_KAISU_TIKAI</t>
  </si>
  <si>
    <t>cst_wskakunin_p4_2_YUKA_MENSEKI_SHINSEI</t>
  </si>
  <si>
    <t>cst_wskakunin_p4_3_KAISU_TIKAI_NOZOKU</t>
  </si>
  <si>
    <t>cst_wskakunin_p4_3_KAISU_TIKAI</t>
  </si>
  <si>
    <t>cst_wskakunin_p4_3_YUKA_MENSEKI_SHINSEI</t>
  </si>
  <si>
    <t>設備・構造設計一級建築士交付番号のセル名修正</t>
  </si>
  <si>
    <t>**shinsei_ISSUE_KOUFU_NAME</t>
  </si>
  <si>
    <t>cst_shinsei_ISSUE_KOUFU_NAME</t>
  </si>
  <si>
    <t>確認済証交付者のセル名を修正</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</si>
  <si>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</si>
  <si>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</si>
  <si>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</si>
  <si>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</si>
  <si>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</si>
  <si>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</si>
  <si>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</si>
  <si>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</si>
  <si>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</si>
  <si>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</si>
  <si>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</si>
  <si>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</si>
  <si>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</si>
  <si>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</si>
  <si>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</si>
  <si>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</si>
  <si>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</si>
  <si>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</si>
  <si>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</si>
  <si>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</si>
  <si>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</si>
  <si>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</si>
  <si>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</si>
  <si>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</si>
  <si>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</si>
  <si>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</si>
  <si>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</si>
  <si>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</si>
  <si>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</si>
  <si>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</si>
  <si>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</si>
  <si>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</si>
  <si>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</si>
  <si>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</si>
  <si>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</si>
  <si>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</si>
  <si>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</si>
  <si>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</si>
  <si>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</si>
  <si>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</si>
  <si>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</si>
  <si>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</si>
  <si>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</si>
  <si>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</si>
  <si>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</si>
  <si>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</si>
  <si>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</si>
  <si>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</si>
  <si>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別紙_設計者2のリンク先修正、表示人数を五人ずつに</t>
  </si>
  <si>
    <t>建築工事届　「印」削除</t>
  </si>
  <si>
    <t>寺田</t>
  </si>
  <si>
    <t>DATAシートのデータ欄に入力されているものを削除</t>
  </si>
  <si>
    <t>入力チェック</t>
  </si>
  <si>
    <t>cst_wskakunin_sekou1_kakunin</t>
  </si>
  <si>
    <t>：未入力1,入力済み2</t>
  </si>
  <si>
    <t>cst_ISSUE_DATE_select</t>
  </si>
  <si>
    <t>cst_wskakunin_KOUZOU</t>
  </si>
  <si>
    <t>cst_wsjob_KENTIKUBUTU_box</t>
  </si>
  <si>
    <t>cst_wsjob_SYOUKOUKI_box</t>
  </si>
  <si>
    <t>工作物</t>
  </si>
  <si>
    <t>cst_wsjob_KOUSAKUBUTU_box</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</si>
  <si>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</si>
  <si>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</si>
  <si>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</si>
  <si>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</si>
  <si>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</si>
  <si>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</si>
  <si>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</si>
  <si>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</si>
  <si>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</si>
  <si>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</si>
  <si>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</si>
  <si>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</si>
  <si>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</si>
  <si>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</si>
  <si>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</si>
  <si>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</si>
  <si>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</si>
  <si>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</si>
  <si>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</si>
  <si>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</si>
  <si>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</si>
  <si>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</si>
  <si>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</si>
  <si>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</si>
  <si>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</si>
  <si>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</si>
  <si>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</si>
  <si>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</si>
  <si>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</si>
  <si>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</si>
  <si>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**wskakunin_BUILD_NAME_KANA</t>
  </si>
  <si>
    <t>**wskakunin_koutei04_KOUTEI_KAISUU</t>
  </si>
  <si>
    <t>**wskakunin_koutei04_KOUTEI_DATE</t>
  </si>
  <si>
    <t>**wskakunin_koutei04_KOUTEI_TEXT</t>
  </si>
  <si>
    <t>共同・長屋の戸数</t>
  </si>
  <si>
    <t>**shinsei_UNIT_COUNT</t>
  </si>
  <si>
    <t>cst_shinsei_UNIT_COUNT</t>
  </si>
  <si>
    <t>受付システム第六面</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</si>
  <si>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</si>
  <si>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</si>
  <si>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</si>
  <si>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</si>
  <si>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</si>
  <si>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</si>
  <si>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</si>
  <si>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</si>
  <si>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cst_wskakunin_kyoka01_JOUKOU</t>
  </si>
  <si>
    <t>cst_wskakunin_kyoka01_KYOKA_NO</t>
  </si>
  <si>
    <t>cst_wskakunin_kyoka01_KYOKA_DATE</t>
  </si>
  <si>
    <t>cst_wskakunin_kyoka01_BIKOU</t>
  </si>
  <si>
    <t>cst_wskakunin_kyoka02_JOUKOU</t>
  </si>
  <si>
    <t>cst_wskakunin_kyoka02_KYOKA_NO</t>
  </si>
  <si>
    <t>cst_wskakunin_kyoka02_KYOKA_DATE</t>
  </si>
  <si>
    <t>cst_wskakunin_kyoka02_BIKOU</t>
  </si>
  <si>
    <t>cst_wskakunin_kyoka03_JOUKOU</t>
  </si>
  <si>
    <t>cst_wskakunin_kyoka03_KYOKA_NO</t>
  </si>
  <si>
    <t>cst_wskakunin_kyoka03_KYOKA_DATE</t>
  </si>
  <si>
    <t>cst_wskakunin_kyoka03_BIKOU</t>
  </si>
  <si>
    <t>cst_wskakunin_owner2__space</t>
  </si>
  <si>
    <t>cst_wskakunin_owner3__space</t>
  </si>
  <si>
    <t>cst_wskakunin_owner4__space</t>
  </si>
  <si>
    <t>cst_wskakunin_owner5__space</t>
  </si>
  <si>
    <t>cst_wskakunin_owner6__space3</t>
  </si>
  <si>
    <t>確認済証交付者（届出用）</t>
  </si>
  <si>
    <t>cst_ISSUE_KOUFU_NAME_select</t>
  </si>
  <si>
    <t>cst_wskakunin__kuiki_box</t>
  </si>
  <si>
    <t>事前受付日</t>
  </si>
  <si>
    <t>**shinsei_PROVO_DATE</t>
  </si>
  <si>
    <t>cst_shinsei_PROVO_DATE</t>
  </si>
  <si>
    <t>事前受付番号</t>
  </si>
  <si>
    <t>**shinsei_PROVO_NO</t>
  </si>
  <si>
    <t>cst_shinsei_PROVO_NO</t>
  </si>
  <si>
    <t>cst_wskakunin_owner2__space2</t>
  </si>
  <si>
    <t>cst_wskakunin_owner1__space3</t>
  </si>
  <si>
    <t>cst_wskakunin_owner2__space3</t>
  </si>
  <si>
    <t>cst_wskakunin_KOUJI_SETUBI_box</t>
  </si>
  <si>
    <t>確認済証番号（届出用）</t>
  </si>
  <si>
    <t>cst_shinsei_KAKUNIN_ISSUE_NO</t>
  </si>
  <si>
    <t>　※確認かそれ以外かで判別する</t>
  </si>
  <si>
    <t>cst_shinsei_KAKUNIN_KOUFU_DATE</t>
  </si>
  <si>
    <t>確認済証交付日（届出用）</t>
  </si>
  <si>
    <t>cst_wskakunin_owner1_ZIP2</t>
  </si>
  <si>
    <t>cst_wskakunin_kanri1_ZIP2</t>
  </si>
  <si>
    <t>cst_wsjob_JOB_KIND_kakunin_box</t>
  </si>
  <si>
    <t>cst_wsjob_JOB_KIND_inter_box</t>
  </si>
  <si>
    <t>cst_wsjob_JOB_KIND_final_box</t>
  </si>
  <si>
    <t>【7.工事完了年月日】</t>
  </si>
  <si>
    <t>西暦</t>
  </si>
  <si>
    <t>【7.工事完了予定年月日】</t>
  </si>
  <si>
    <t>cst_wskakunin_KOUJI_KANRYOU_YOTEI_DATE_select</t>
  </si>
  <si>
    <t>**shinsei_KAKU_SUMI_NO</t>
  </si>
  <si>
    <t>cst_shinsei_KAKU_SUMI_NO</t>
  </si>
  <si>
    <t>基準法より</t>
  </si>
  <si>
    <t>**shinsei_build_YOUTO</t>
  </si>
  <si>
    <t>cst_shinsei_build_YOUTO</t>
  </si>
  <si>
    <t>cst_wskakunin_BUILD_NAME_KANA</t>
  </si>
  <si>
    <t>cst_wskakunin_koutei04_KOUTEI_KAISUU</t>
  </si>
  <si>
    <t>cst_wskakunin_koutei04_KOUTEI_DATE</t>
  </si>
  <si>
    <t>cst_wskakunin_koutei04_KOUTEI_TEXT</t>
  </si>
  <si>
    <t>会社名フリガナ&lt;スペース&gt;役職フリガナ&lt;スペース&gt;氏名フリガナ　常に表示（一行表示）</t>
  </si>
  <si>
    <t>cst_wskakunin_owner1__space_KANA2</t>
  </si>
  <si>
    <t>cst_wskakunin_owner1__space4</t>
  </si>
  <si>
    <t>会社名&lt;スペース&gt;役職&lt;スペース&gt;氏名　常に表示（一行表示）</t>
  </si>
  <si>
    <t>防火設備の有無</t>
  </si>
  <si>
    <t>**wskakunin_BOUKA_SETUBI_FLAG</t>
  </si>
  <si>
    <t>cst_wskakunin_BOUKA_SETUBI_FLAG</t>
  </si>
  <si>
    <t>cst_wskakunin_BOUKA_SETUBI_FLAG_box_on</t>
  </si>
  <si>
    <t>cst_wskakunin_BOUKA_SETUBI_FLAG_box_off</t>
  </si>
  <si>
    <t>提出機関先</t>
  </si>
  <si>
    <t>**wskakunin_KIKAN_NAME</t>
  </si>
  <si>
    <t>cst_wskakunin_KIKAN_NAME</t>
  </si>
  <si>
    <t>確認を行っ
た部位、材
料の種類等</t>
  </si>
  <si>
    <t>照合内容</t>
  </si>
  <si>
    <t>照合を行
った設計
図書</t>
  </si>
  <si>
    <t>設計図書の内
容について設
計者に確認し
た事項</t>
  </si>
  <si>
    <t>照合方法</t>
  </si>
  <si>
    <t>照合結果
（不適の場合には
建築主に対して行
った報告の内容）</t>
  </si>
  <si>
    <t>敷地の形状、高さ、衛
生及び安全</t>
  </si>
  <si>
    <t>主要構造部及び主要
構造部以外の構造耐
力上主要な部分に用
いる材料（接合材料を
含む。）の種類、品質、
形状及び寸法</t>
  </si>
  <si>
    <t>主要構造部及び主要
構造部以外の構造耐
力上必要な部分に用
いる材料の接合状況、
接合部分の形状等</t>
  </si>
  <si>
    <t>建築物の各部分の位
置、形状及び大きさ</t>
  </si>
  <si>
    <t>構造耐力上主要な部
分の防錆、防腐及び防
蟻措置及び状況</t>
  </si>
  <si>
    <t>特定天井に用いる材
料の種類並びに当該
特定天井の構造及び
施工状況</t>
  </si>
  <si>
    <t>居室の内装の仕上げ
に用いる建築材料の
種別及び当該建築材
料を用いる部分の面
積</t>
  </si>
  <si>
    <t>天井及び壁の室内に
面する部分に係る仕
上げの材料の種別及
び厚さ</t>
  </si>
  <si>
    <t>開口部に設ける建具
の種類及び大きさ</t>
  </si>
  <si>
    <t>建築設備に用いる材
料の種類及びその照
合した内容並びに当
該建築設備の構造及
び施工状況（区画貫通
部の処理状況を含
む。）</t>
  </si>
  <si>
    <t>備　　　　　　　　　　考</t>
  </si>
  <si>
    <t>センター別記Ｃ－２３号様式</t>
  </si>
  <si>
    <t>計 画 廃 止 届</t>
  </si>
  <si>
    <t>様</t>
  </si>
  <si>
    <t>届 出 者</t>
  </si>
  <si>
    <t>次のとおり工事の計画を廃止したので届けます。</t>
  </si>
  <si>
    <t>確認年月日及び確認番号</t>
  </si>
  <si>
    <t>建　築
設　置　の場所
築　造</t>
  </si>
  <si>
    <t>建築主
設置者　の住所及び氏名
建造主</t>
  </si>
  <si>
    <t>計画を廃止した理由</t>
  </si>
  <si>
    <t>備　　　　　考</t>
  </si>
  <si>
    <t>※
受
付
欄</t>
  </si>
  <si>
    <t>※
決
裁
欄</t>
  </si>
  <si>
    <t>※
処
理
欄</t>
  </si>
  <si>
    <t>センター別記Ｃ－２１号様式</t>
  </si>
  <si>
    <t>確認申請書記載事項変更届</t>
  </si>
  <si>
    <t>１ 確認年月日及び番号</t>
  </si>
  <si>
    <t>２ 建築主･設置者･築造主</t>
  </si>
  <si>
    <t>３ 建築・設置・築造の場所</t>
  </si>
  <si>
    <t>４ 建築物等の用途及び構造</t>
  </si>
  <si>
    <t>５
届
出
事
項</t>
  </si>
  <si>
    <t>建築主
設置者の変更
築造主</t>
  </si>
  <si>
    <t>新</t>
  </si>
  <si>
    <t>建築主・設置者・築造主
の住所及び氏名</t>
  </si>
  <si>
    <t>旧</t>
  </si>
  <si>
    <t>設計者の変更</t>
  </si>
  <si>
    <t>設計者の資格、氏名
及び建築士事務所名・
所在地</t>
  </si>
  <si>
    <t>(　　)建築士(　　　)登録第　　　　　　　号</t>
  </si>
  <si>
    <t>(　　)建築士事務所(　　)知事登録第　　　号</t>
  </si>
  <si>
    <t>工事監理者の決定
及び変更</t>
  </si>
  <si>
    <t>変更後の工事監理者の資格、
氏名及び建築士事務所名・
所在地</t>
  </si>
  <si>
    <t>工事施工者の決定
及び変更</t>
  </si>
  <si>
    <t>変更後の工事施工者の資格、
氏名及び営業所名・
所在地</t>
  </si>
  <si>
    <t>建設業の許可(　　　　　　)第　 　　　　 号</t>
  </si>
  <si>
    <t>６　変更の理由</t>
  </si>
  <si>
    <t>※受付欄</t>
  </si>
  <si>
    <t>※決裁欄</t>
  </si>
  <si>
    <t>※処理欄</t>
  </si>
  <si>
    <t>住　所</t>
  </si>
  <si>
    <t>届出者</t>
  </si>
  <si>
    <t>センター別記Ｃ－１５号様式</t>
  </si>
  <si>
    <t>建築主、設置者
又は築造主氏名</t>
  </si>
  <si>
    <t>確認受付番号</t>
  </si>
  <si>
    <t>確認受付年月日</t>
  </si>
  <si>
    <t>建築場所、設置場所
又は築造場所</t>
  </si>
  <si>
    <t>取下げ理由</t>
  </si>
  <si>
    <t>※
受
付
欄</t>
  </si>
  <si>
    <t>センター別記Ｃ－２６号様式</t>
  </si>
  <si>
    <t>センター別記Ｃ－３０号様式</t>
  </si>
  <si>
    <t>計画廃止届</t>
  </si>
  <si>
    <t>記載事項変更届</t>
  </si>
  <si>
    <t>取下げ届_確認</t>
  </si>
  <si>
    <t>取下げ届_中間</t>
  </si>
  <si>
    <t>取下げ届_完了</t>
  </si>
  <si>
    <t>徳永</t>
  </si>
  <si>
    <t>日付修正</t>
  </si>
  <si>
    <t>dSHEET修正</t>
  </si>
  <si>
    <t>印刷範囲修正,</t>
  </si>
  <si>
    <t>dSHEET-2対応</t>
  </si>
  <si>
    <t>一般財団法人静岡県建築住宅まちづくりセンター</t>
  </si>
  <si>
    <t>飯島</t>
  </si>
  <si>
    <t>各シート「（一財）」→「一般財団法人」へ変更</t>
  </si>
  <si>
    <t>会社情報 履歴</t>
  </si>
  <si>
    <t>状態</t>
  </si>
  <si>
    <t>履歴</t>
  </si>
  <si>
    <t>開始日</t>
  </si>
  <si>
    <t>会社タイプ</t>
  </si>
  <si>
    <t>代表者名</t>
  </si>
  <si>
    <t>会社名表記名</t>
  </si>
  <si>
    <t>誕生日</t>
  </si>
  <si>
    <t>理事長 　諏訪　久男</t>
  </si>
  <si>
    <t>理事長 　柳　敏幸</t>
  </si>
  <si>
    <t>帳票情報</t>
  </si>
  <si>
    <t>採用情報</t>
  </si>
  <si>
    <t>帳票名</t>
  </si>
  <si>
    <t>Ctrl</t>
  </si>
  <si>
    <t>検査結果</t>
  </si>
  <si>
    <t>会社名２</t>
  </si>
  <si>
    <t>cst_Pre_Corp__SHINSEI</t>
  </si>
  <si>
    <t>cst_Pre_Daihyou__SHINSEI</t>
  </si>
  <si>
    <t>理事長名変更対応（2021/6/29付け）</t>
  </si>
  <si>
    <t>主要用途の区分</t>
  </si>
  <si>
    <t>記号</t>
  </si>
  <si>
    <t>居住専用住宅（附属建築物を除く。）</t>
  </si>
  <si>
    <t>居住専用住宅附属建築物（物置，車庫等）</t>
  </si>
  <si>
    <t>寮，寄宿舎，合宿所（附属建築物を除く。）</t>
  </si>
  <si>
    <t>寮，寄宿舎，合宿所附属建築物（物置，車庫等）</t>
  </si>
  <si>
    <t>他に分類されない居住専用建築物</t>
  </si>
  <si>
    <t>農林水産業</t>
  </si>
  <si>
    <t>農業，林業，漁業，水産養殖業</t>
  </si>
  <si>
    <t>鉱業，採石業，砂利採取業，建設業</t>
  </si>
  <si>
    <t>鉱業，採石業，砂利採取業</t>
  </si>
  <si>
    <t>建設業</t>
  </si>
  <si>
    <t>製造業</t>
  </si>
  <si>
    <t>食料品製造業，飲料・たばこ・飼料製造業，繊維工業，木材・木製品製造業，家具・装備品製造業，パルプ・紙・紙加工品製造業，印刷・同関連業，プラスチック製品製造業（記号１５から記号１８までに該当するものを除く。），窯業・土石製品製造業</t>
  </si>
  <si>
    <t>化学工業，石油製品・石炭製品製造業</t>
  </si>
  <si>
    <t>鉄鋼業，非鉄金属製造業，金属製品製造業</t>
  </si>
  <si>
    <t>はん用機械器具製造業，生産用機械器具製造業，業務用機械器具製造業，電子部品・デバイス・電子回路製造業，電気機械器具製造業，情報通信機械器具製造業，輸送用機械器具製造業</t>
  </si>
  <si>
    <t>ゴム製品製造業，なめし革・同製品・毛皮製造業，その他の製造業</t>
  </si>
  <si>
    <t>電気・ガス・熱供給・水道業</t>
  </si>
  <si>
    <t>電気業</t>
  </si>
  <si>
    <t>ガス業</t>
  </si>
  <si>
    <t>熱供給業</t>
  </si>
  <si>
    <t>水道業</t>
  </si>
  <si>
    <t>情報通信業</t>
  </si>
  <si>
    <t>通信業</t>
  </si>
  <si>
    <t>放送業，情報サービス業，インターネット附随サービス業</t>
  </si>
  <si>
    <t>映像・音声・文字情報製作業（新聞業及び出版業を除く。）</t>
  </si>
  <si>
    <t>映像・音声・文字情報製作業（新聞業及び出版業に限る。）</t>
  </si>
  <si>
    <t>運輸業</t>
  </si>
  <si>
    <t>鉄道業，道路旅客運送業，道路貨物運送業，水運業，航空運輸業，倉庫業，運輸に附帯するサービス業</t>
  </si>
  <si>
    <t>卸売業，小売業</t>
  </si>
  <si>
    <t>金融業，保険業</t>
  </si>
  <si>
    <t>不動産業</t>
  </si>
  <si>
    <t>不動産取引業，不動産賃貸業・管理業（駐車場業を除く。）</t>
  </si>
  <si>
    <t>不動産賃貸業・管理業（駐車場業に限る。）</t>
  </si>
  <si>
    <t>宿泊業，飲食サービス業</t>
  </si>
  <si>
    <t>宿泊業</t>
  </si>
  <si>
    <t>飲食店，持ち帰り・配達飲食サービス業</t>
  </si>
  <si>
    <t>教育，学習支援業</t>
  </si>
  <si>
    <t>学校教育</t>
  </si>
  <si>
    <t>その他の教育，学習支援業（社会教育に限る。）</t>
  </si>
  <si>
    <t>その他の教育，学習支援業（学習塾及び教養・技能教授業に限る。）</t>
  </si>
  <si>
    <t>その他の教育及び学習支援業（記号３５及び記号３６に該当するものを除く。）</t>
  </si>
  <si>
    <t>医療，福祉</t>
  </si>
  <si>
    <t>医療業，保健衛生</t>
  </si>
  <si>
    <t>社会保険・社会福祉・介護事業</t>
  </si>
  <si>
    <t>その他のサービス業</t>
  </si>
  <si>
    <t>郵便業（信書便事業を含む。），郵便局</t>
  </si>
  <si>
    <t>学術・開発研究機関，政治・経済・文化団体</t>
  </si>
  <si>
    <t>その他の生活関連サービス業（旅行業に限る。）</t>
  </si>
  <si>
    <t>娯楽業</t>
  </si>
  <si>
    <t>宗教</t>
  </si>
  <si>
    <t>物品賃貸業，専門サービス業，広告業，技術サービス業，洗濯・理容・美容・浴場業，その他の生活関連サービス業（旅行業を除く。），協同組合，サービス業（他に分類されないもの）（記号４１及び記号４４に該当するものを除く。）</t>
  </si>
  <si>
    <t>国家公務，地方公務</t>
  </si>
  <si>
    <t>他に分類されないもの</t>
  </si>
  <si>
    <t>選択コード</t>
  </si>
  <si>
    <t>建築工事届_主要用途</t>
  </si>
  <si>
    <t>（1） - 工事種別が新築のみ表示</t>
  </si>
  <si>
    <t>cst_wskakunin_SHIKITI_MENSEKI_1_TOTAL_sintiku</t>
  </si>
  <si>
    <t>【電話番号】</t>
  </si>
  <si>
    <t>【住所】</t>
  </si>
  <si>
    <t>【郵便番号】</t>
  </si>
  <si>
    <t>【氏名】</t>
  </si>
  <si>
    <t>【委任者】</t>
  </si>
  <si>
    <t>【３．建築物等の名称】</t>
  </si>
  <si>
    <t>【２．敷地の地名地番】</t>
  </si>
  <si>
    <t>その他（</t>
  </si>
  <si>
    <t>住宅金融支援機構検査申請（フラット35）業務</t>
  </si>
  <si>
    <t>取止・取下届提出業務</t>
  </si>
  <si>
    <t>仮使用認定申請業務</t>
  </si>
  <si>
    <t>完了検査申請業務</t>
  </si>
  <si>
    <t>中間検査申請業務</t>
  </si>
  <si>
    <t>確認申請（計画変更確認を含む）業務</t>
  </si>
  <si>
    <t>【１．委任する業務】</t>
  </si>
  <si>
    <t>私は上記の者を代理人と定め、下記の申請及びこれに付随する手続きの一切を委任します。</t>
  </si>
  <si>
    <t>【会社名】</t>
  </si>
  <si>
    <t>【代理人】</t>
  </si>
  <si>
    <t>委　　任　　状</t>
  </si>
  <si>
    <t>１１欄のＢＯＤとは、生物化学的酸素要求量をいいます。</t>
  </si>
  <si>
    <t>１０欄については、大臣認定を受けたし尿浄化槽である場合は、処理方法のみを記入してください。</t>
  </si>
  <si>
    <t>記入してください。</t>
  </si>
  <si>
    <t>浄化槽工事業者が未定の場合は、２欄及び３欄には未定と記入してください。</t>
  </si>
  <si>
    <t>選択事項は、該当するものを◯で囲んでください。</t>
  </si>
  <si>
    <t>＊印のある欄は、記入しないでください。</t>
  </si>
  <si>
    <t>(注)</t>
  </si>
  <si>
    <t>動力</t>
  </si>
  <si>
    <t>：</t>
  </si>
  <si>
    <t>自然</t>
  </si>
  <si>
    <t>放流方法</t>
  </si>
  <si>
    <t>放流先</t>
  </si>
  <si>
    <t>放流水</t>
  </si>
  <si>
    <t>m3/日</t>
  </si>
  <si>
    <t>水量</t>
  </si>
  <si>
    <t>mg/Ｌ</t>
  </si>
  <si>
    <t>BOD</t>
  </si>
  <si>
    <t>水質</t>
  </si>
  <si>
    <t>処理方法</t>
  </si>
  <si>
    <t>し尿浄化槽の構造方法</t>
  </si>
  <si>
    <t>）の（</t>
  </si>
  <si>
    <t>第（</t>
  </si>
  <si>
    <t>昭和55年建設省告示第1292号の区分</t>
  </si>
  <si>
    <t>人槽</t>
  </si>
  <si>
    <t>し尿浄化槽の規模</t>
  </si>
  <si>
    <t>認定番号</t>
  </si>
  <si>
    <t>型</t>
  </si>
  <si>
    <t>認定番号　</t>
  </si>
  <si>
    <t>し尿浄化槽の種類</t>
  </si>
  <si>
    <t>名称</t>
  </si>
  <si>
    <t>型式認定浄化槽</t>
  </si>
  <si>
    <t>①</t>
  </si>
  <si>
    <t>合併処理</t>
  </si>
  <si>
    <t>・</t>
  </si>
  <si>
    <t>単独処理</t>
  </si>
  <si>
    <t>単独処理・合併処理の別</t>
  </si>
  <si>
    <t>故に</t>
  </si>
  <si>
    <t>人</t>
  </si>
  <si>
    <t>合計人員</t>
  </si>
  <si>
    <t>算定式</t>
  </si>
  <si>
    <t>算定根拠</t>
  </si>
  <si>
    <t>処理対象人員</t>
  </si>
  <si>
    <t>）用途（</t>
  </si>
  <si>
    <t>番号（</t>
  </si>
  <si>
    <t>建築物の用途</t>
  </si>
  <si>
    <t>設置場所</t>
  </si>
  <si>
    <t>浄化槽設備士の氏名</t>
  </si>
  <si>
    <t>第</t>
  </si>
  <si>
    <t>免状交付番号</t>
  </si>
  <si>
    <t>知事（</t>
  </si>
  <si>
    <t>登録又は届出番号</t>
  </si>
  <si>
    <t>及び営業所名・所在地</t>
  </si>
  <si>
    <t>浄化槽工事業者の氏名</t>
  </si>
  <si>
    <t>建築主の住所及び氏名</t>
  </si>
  <si>
    <t>受理年月日　　　</t>
  </si>
  <si>
    <t>＊</t>
  </si>
  <si>
    <t>保健所長</t>
  </si>
  <si>
    <t>計画通知書</t>
  </si>
  <si>
    <t>を受理したので、建築基準法第93条第５項の規定により通知します</t>
  </si>
  <si>
    <t>し尿浄化槽に関する</t>
  </si>
  <si>
    <t>確認申請書</t>
  </si>
  <si>
    <t>し 尿 浄 化 槽 に 関 す る 通 知 書</t>
  </si>
  <si>
    <t>センター別記Ｃ－１１号様式(A4)</t>
  </si>
  <si>
    <t>〇</t>
  </si>
  <si>
    <t>し 尿 浄 化 槽 の 概 要 書</t>
  </si>
  <si>
    <t>センター別記C-10号様式(A4)</t>
  </si>
  <si>
    <t>次のとおり確認申請書記載事項を変更したので一般財団法人静岡県建築住宅まちづくりセンター確認検査　　</t>
  </si>
  <si>
    <t>業務規程により届けます。　　</t>
  </si>
  <si>
    <t>(注４)４、５欄において、内容が書ききれない場合は別に記載して添えてください。</t>
  </si>
  <si>
    <t>(注３)５欄には添付図面等の名称と記載内容をまとめてください。</t>
  </si>
  <si>
    <t>(注２)４欄には軽微な変更の概要を項目ごとに箇条書きしてください。</t>
  </si>
  <si>
    <t>(注１)この説明書は検査申請書に添えて提出してください。</t>
  </si>
  <si>
    <t>５．添付図書リスト</t>
  </si>
  <si>
    <t>４．軽微な変更の概要</t>
  </si>
  <si>
    <t>３．確認番号等</t>
  </si>
  <si>
    <t>２．確認年月日</t>
  </si>
  <si>
    <t>　建築・設置・築造場所</t>
  </si>
  <si>
    <t>1．建築主氏名</t>
  </si>
  <si>
    <t>軽微な変更説明書</t>
  </si>
  <si>
    <t>センター別記Ｃ－３２号様式</t>
  </si>
  <si>
    <t>に申し込みしました確認申請については、都合により取り下げますので</t>
  </si>
  <si>
    <t>一般財団法人静岡県建築住宅まちづくりセンター確認検査業務規程により届けます。</t>
  </si>
  <si>
    <t>に申し込みしました中間検査の申請については、都合により取り下げ</t>
  </si>
  <si>
    <t>ますので、一般財団法人静岡県建築住宅まちづくりセンター確認検査業務規程により届けます。</t>
  </si>
  <si>
    <t>に申し込みしました完了検査の申請については、都合により取り下げ</t>
  </si>
  <si>
    <t>浄化槽概要書・通知書_静岡県</t>
  </si>
  <si>
    <t>修正依頼対応（210629-2）</t>
  </si>
  <si>
    <t>dAName</t>
  </si>
  <si>
    <t>氏　名</t>
  </si>
  <si>
    <t xml:space="preserve">住所 </t>
  </si>
  <si>
    <t xml:space="preserve">氏名 </t>
  </si>
  <si>
    <t>確認申請書取下げ届</t>
  </si>
  <si>
    <t>中間検査申請取下げ届</t>
  </si>
  <si>
    <t>完了検査申請取下げ届</t>
  </si>
  <si>
    <t>【1.着工及び工事完了の予定期日】</t>
  </si>
  <si>
    <t>【イ.着工予定期日】</t>
  </si>
  <si>
    <t>【ロ.工事完了予定期日】</t>
  </si>
  <si>
    <t>【2.建築主】</t>
  </si>
  <si>
    <t>【イ.建築主の種別】</t>
  </si>
  <si>
    <t>【ロ.資本の額又は出資の総額】</t>
  </si>
  <si>
    <t>(1)1,000万円以下</t>
  </si>
  <si>
    <t>(2)1,000万円超～3,000万円以下</t>
  </si>
  <si>
    <t>(3)3,000万円超～1億円以下</t>
  </si>
  <si>
    <t>(4)1億円超～10億円以下</t>
  </si>
  <si>
    <t>(5)10億円超</t>
  </si>
  <si>
    <t>【3.敷地の位置】</t>
  </si>
  <si>
    <t>多用途</t>
  </si>
  <si>
    <t>【ニ．工事の予定期間】</t>
  </si>
  <si>
    <t>月間)</t>
  </si>
  <si>
    <t>【ホ.工事部分の</t>
  </si>
  <si>
    <t>【ヘ.建築工事費予定額】</t>
  </si>
  <si>
    <t>【ト.新築工事の場合における地上の階数】</t>
  </si>
  <si>
    <t>【チ.新築工事の場合における地下の階数】</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</si>
  <si>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</si>
  <si>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</si>
  <si>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</si>
  <si>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</si>
  <si>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</si>
  <si>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</si>
  <si>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</si>
  <si>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</si>
  <si>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</si>
  <si>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</si>
  <si>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【ホ.住宅の種類】</t>
  </si>
  <si>
    <t>【ヘ.住宅の建て方】</t>
  </si>
  <si>
    <t>(3)共同住宅</t>
  </si>
  <si>
    <t>【ト.利用関係】</t>
  </si>
  <si>
    <t>【チ.住宅の戸数】</t>
  </si>
  <si>
    <t>【リ.工事部分の</t>
  </si>
  <si>
    <t>【2.除却原因】</t>
  </si>
  <si>
    <t>【3.構造】</t>
  </si>
  <si>
    <t>法改正対応</t>
  </si>
  <si>
    <t>建築工事届_主要用途　第四面用設定追加</t>
  </si>
  <si>
    <t>工事監理計画届</t>
  </si>
  <si>
    <t>取下げ届</t>
  </si>
  <si>
    <t>修正依頼（6/6依頼分）</t>
  </si>
  <si>
    <t>「(1)居住専用建築物」に該当する場合</t>
  </si>
  <si>
    <t>「(2)居住産業併用建築物」又は「(3)産業専用建築物」に該当する場合</t>
  </si>
  <si>
    <t>11</t>
  </si>
  <si>
    <t>12</t>
  </si>
  <si>
    <t>13</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</si>
  <si>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</si>
  <si>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14</t>
  </si>
  <si>
    <t>15</t>
  </si>
  <si>
    <t>16</t>
  </si>
  <si>
    <t>17</t>
  </si>
  <si>
    <t>18</t>
  </si>
  <si>
    <t>19</t>
  </si>
  <si>
    <t>20</t>
  </si>
  <si>
    <t>21</t>
  </si>
  <si>
    <t>22</t>
  </si>
  <si>
    <t>23</t>
  </si>
  <si>
    <t>24</t>
  </si>
  <si>
    <t>映像・音声・文字情報制作業（新聞業及び出版業を除く。）</t>
  </si>
  <si>
    <t>25</t>
  </si>
  <si>
    <t>映像・音声・文字情報制作業（新聞業及び出版業に限る。）</t>
  </si>
  <si>
    <t>26</t>
  </si>
  <si>
    <t>27</t>
  </si>
  <si>
    <t>卸売業、小売業</t>
  </si>
  <si>
    <t>卸売業,小売業</t>
  </si>
  <si>
    <t>28</t>
  </si>
  <si>
    <t>金融業、保険業</t>
  </si>
  <si>
    <t>金融業,保険業</t>
  </si>
  <si>
    <t>29</t>
  </si>
  <si>
    <t>不動産取引業，不動産賃貸業・管理業（駐車場業を除
く。）</t>
  </si>
  <si>
    <t>30</t>
  </si>
  <si>
    <t>31</t>
  </si>
  <si>
    <t>宿泊業、飲食サービス業</t>
  </si>
  <si>
    <t>32</t>
  </si>
  <si>
    <t>33</t>
  </si>
  <si>
    <t>教育、学習支援業</t>
  </si>
  <si>
    <t>34</t>
  </si>
  <si>
    <t>35</t>
  </si>
  <si>
    <t>36</t>
  </si>
  <si>
    <t>その他の教育及び学習支援業（記号35及び記号36に該当するものを除く。）</t>
  </si>
  <si>
    <t>37</t>
  </si>
  <si>
    <t>医療、福祉</t>
  </si>
  <si>
    <t>38</t>
  </si>
  <si>
    <t>39</t>
  </si>
  <si>
    <t>40</t>
  </si>
  <si>
    <t>41</t>
  </si>
  <si>
    <t>42</t>
  </si>
  <si>
    <t>43</t>
  </si>
  <si>
    <t>44</t>
  </si>
  <si>
    <t>物品賃貸業，専門サービス業，広告業，技術サービス業，洗濯・理容・美容・浴場業，その他の生活関連サービス業（旅行業を除く。），協同組合，サービス業（他に分類されないもの）(記号41及び記号44に該当するものを除く。）</t>
  </si>
  <si>
    <t>45</t>
  </si>
  <si>
    <t>国家公務、地方公務</t>
  </si>
  <si>
    <t>46</t>
  </si>
  <si>
    <t>99</t>
  </si>
  <si>
    <t>工 事 監 理 計 画 届</t>
  </si>
  <si>
    <t>一般財団法人　静岡県建築住宅まちづくりセンタ－</t>
  </si>
  <si>
    <t>　次の通り工事監理計画を届け出ます。</t>
  </si>
  <si>
    <t>確認を行う部位、材料の種類等</t>
  </si>
  <si>
    <t>照合を行う設計図書</t>
  </si>
  <si>
    <t>敷地の形状、高さ、衛生及び安全</t>
  </si>
  <si>
    <t>主要構造部及び主要構造部以外の構造耐力上主要な部分に用いる材料（接合材料を含む。）の種類、品質、形状及び寸法</t>
  </si>
  <si>
    <t>主要構造部及び主要構造部以外の構造耐力上必要な部分に用いる材料の接合状況、接合部分の形状等</t>
  </si>
  <si>
    <t>建築物の各部分の位置、形状及び大きさ</t>
  </si>
  <si>
    <t>構造耐力上主要な部分の防錆、防腐及び防蟻措置及び状況</t>
  </si>
  <si>
    <t>特定天井に用いる材料の種類並びに当該特定天井の構造及び施工状況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</si>
  <si>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</si>
  <si>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</si>
  <si>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</si>
  <si>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建築設備に用いる材料の種類及びその照合した内容並びに当該建築設備の構造及び施工状況（区画貫通部の処理状況を含む。）</t>
  </si>
  <si>
    <t>出力帳票が見つかりません</t>
  </si>
  <si>
    <t>EXCEL作成で作成可能な書類</t>
  </si>
  <si>
    <t>検査申請</t>
  </si>
  <si>
    <t>中間</t>
  </si>
  <si>
    <t>完了</t>
  </si>
  <si>
    <t>仮使用</t>
  </si>
  <si>
    <t>〇※</t>
  </si>
  <si>
    <t>×</t>
  </si>
  <si>
    <t>浄化槽概要書・通知書（静岡県版）</t>
  </si>
  <si>
    <t>※計画変更の場合は作成不要</t>
  </si>
  <si>
    <t>様式未設定</t>
  </si>
  <si>
    <t>仮使用のとき取下げ届出力</t>
  </si>
  <si>
    <t>＊　</t>
  </si>
  <si>
    <t>修正依頼（6/6依頼分）修正</t>
  </si>
  <si>
    <t>連絡担当者票</t>
  </si>
  <si>
    <t>連絡担当者</t>
  </si>
  <si>
    <t>TEL</t>
  </si>
  <si>
    <t>FAX</t>
  </si>
  <si>
    <t>携帯</t>
  </si>
  <si>
    <t>希望検査日</t>
  </si>
  <si>
    <t>適合証明（フラット35）</t>
  </si>
  <si>
    <t>利用</t>
  </si>
  <si>
    <t>有</t>
  </si>
  <si>
    <t>無</t>
  </si>
  <si>
    <t>実施</t>
  </si>
  <si>
    <t>省略</t>
  </si>
  <si>
    <t>消防検査</t>
  </si>
  <si>
    <t>連絡担当者票（検査）</t>
  </si>
  <si>
    <t>会社（改行）+役職（スペース）+氏名</t>
  </si>
  <si>
    <t>〒</t>
  </si>
  <si>
    <t>１　届出者住所は、建築主の住所、法人にあっては、その主たる事務所の所在地を記入すること。</t>
  </si>
  <si>
    <t>３　※印欄には、記入しないこと。</t>
  </si>
  <si>
    <t>２　届出者氏名は、建築主の氏名、法人にあっては、その名称及び代表者の氏名を記入すること。</t>
  </si>
  <si>
    <t>仮使用認定取下げ届</t>
  </si>
  <si>
    <t>センター別記Ｃ－３５号様式</t>
  </si>
  <si>
    <t>取下げ届_仮使用</t>
  </si>
  <si>
    <t>修正依頼（6/16分）</t>
  </si>
  <si>
    <t>工事届　西暦統一</t>
  </si>
  <si>
    <t>に申し込みしました仮使用認定の申請については、都合により取り</t>
  </si>
  <si>
    <t>下げますので、一般財団法人静岡県建築住宅まちづくりセンター確認検査業務規程により届けます。</t>
  </si>
  <si>
    <t>敷地の地名地番又は設置する建築物若しくは工作物の所在地及び名称</t>
  </si>
  <si>
    <t>第　　　　　　　号</t>
  </si>
  <si>
    <t>【追加の届出者】</t>
  </si>
  <si>
    <t>cst_wskakunin_owner2__address</t>
  </si>
  <si>
    <t>二ページ目　建築主別紙追加</t>
  </si>
  <si>
    <t>工 事 監 理 計 画 届  （ 別 紙 ）</t>
  </si>
  <si>
    <t>軽微な変更説明書（別紙）</t>
  </si>
  <si>
    <t>確認申請書取下げ届 （ 別 紙 ）</t>
  </si>
  <si>
    <t>中間検査申請取下げ届（ 別 紙 ）</t>
  </si>
  <si>
    <t>完了検査申請取下げ届（ 別 紙 ）</t>
  </si>
  <si>
    <t>仮使用認定取下げ届 （ 別 紙 ）</t>
  </si>
  <si>
    <t>計 画 廃 止 届  （ 別 紙 ）</t>
  </si>
  <si>
    <t>届出者別紙</t>
  </si>
  <si>
    <t>今回申請以前の中間検査（有/無）</t>
  </si>
  <si>
    <t>cst_wskakunin_koutei_izen01_umu</t>
  </si>
  <si>
    <t>検査経過（有/無）</t>
  </si>
  <si>
    <t>cst_wskakunin_koutei01_umu</t>
  </si>
  <si>
    <t>上記別シートに変更、軽微な変更届文章リンク先変更</t>
  </si>
  <si>
    <t>２ 届出者氏名は、建築主の氏名、法人にあっては、その名称及び代表者の氏名を記入すること。</t>
  </si>
  <si>
    <t>１ 届出者住所は、建築主の住所、法人にあっては、その主たる事務所の所在地を記入すること。</t>
  </si>
  <si>
    <t>３ ※印欄には、記入しないこと。</t>
  </si>
  <si>
    <t>記載事項変更届　修正</t>
  </si>
  <si>
    <t>建築主1</t>
  </si>
  <si>
    <t>**wssonota_owner1_JIMU_NAME</t>
  </si>
  <si>
    <t>**wssonota_owner1_JIMU_NAME_KANA</t>
  </si>
  <si>
    <t>**wssonota_owner1_POST</t>
  </si>
  <si>
    <t>**wssonota_owner1_POST_KANA</t>
  </si>
  <si>
    <t>**wssonota_owner1_NAME</t>
  </si>
  <si>
    <t>**wssonota_owner1_NAME_KANA</t>
  </si>
  <si>
    <t>**wssonota_owner1_ZIP</t>
  </si>
  <si>
    <t>**wssonota_owner1__address</t>
  </si>
  <si>
    <t>**wssonota_owner1_TEL</t>
  </si>
  <si>
    <t>cst_wssonota_owner1__address</t>
  </si>
  <si>
    <t>cst_wssonota_owner1_JIMU_NAME</t>
  </si>
  <si>
    <t>cst_wssonota_owner1_POST</t>
  </si>
  <si>
    <t>cst_wssonota_owner1_NAME</t>
  </si>
  <si>
    <t>会社名〈改行〉役職〈ｽﾍﾟｰｽ〉氏名</t>
  </si>
  <si>
    <t>cst_wssonota_owner1__space</t>
  </si>
  <si>
    <t>cst_wssonota_owner1_ZIP</t>
  </si>
  <si>
    <t>cst_wssonota_owner1_TEL</t>
  </si>
  <si>
    <t>㎡)</t>
  </si>
  <si>
    <t>建築工事届　㎡単位抜け修正</t>
  </si>
  <si>
    <t>建築工事届  （ 別 紙 ）</t>
  </si>
  <si>
    <t>【追加の建築主】</t>
  </si>
  <si>
    <t>cst_wskakunin_owner3__space3</t>
  </si>
  <si>
    <t>建築主別紙</t>
  </si>
  <si>
    <t>建築工事届　建築主2以降がいる場合は建築主別紙表示</t>
  </si>
  <si>
    <t>**wsjob__address</t>
  </si>
  <si>
    <t>**wsjob_BUILD__address</t>
  </si>
  <si>
    <t>**wsjob_BUILD_KEN</t>
  </si>
  <si>
    <t>**wsjob_BUILD_ADDRESS</t>
  </si>
  <si>
    <t>cst_wsjob__address</t>
  </si>
  <si>
    <t>cst_wsjob_BUILD__address</t>
  </si>
  <si>
    <t>cst_wsjob_BUILD_KEN</t>
  </si>
  <si>
    <t>cst_wsjob_BUILD_ADDRESS</t>
  </si>
  <si>
    <t>都道府県+住所</t>
  </si>
  <si>
    <t>都道府県</t>
  </si>
  <si>
    <t>※市町村コードで出力される</t>
  </si>
  <si>
    <t>仮使用時の帳票（委任状/取下げ届）に添付方式時のセル名追加</t>
  </si>
  <si>
    <t>委任状E18～E20の条件をcst_wsjob_JOB_KIND="その他申請"に変更</t>
  </si>
  <si>
    <t>番号欄　入力に第号がある時は帳票に第号表示しない（入力がない場合は表示）処理</t>
  </si>
  <si>
    <t>cst_wskakunin_LAST_ISSUE_NO　関数修正</t>
  </si>
  <si>
    <t>６欄の算定根拠欄には、日本産業規格Ａ3302の該当類似用途別番号及び用途並びに処理対象人員の算定式を</t>
  </si>
  <si>
    <t>浄化槽概要書・通知書_静岡県　日本工業規格⇒日本産業規格　誤字修正</t>
  </si>
  <si>
    <t>2022確認建築静建住ま10505</t>
  </si>
  <si>
    <t>2022確中建築静建住ま10505</t>
  </si>
  <si>
    <t>静岡県静岡市葵区平和二丁目215-8</t>
  </si>
  <si>
    <t>静岡市葵区平和二丁目215-8</t>
  </si>
  <si>
    <t>菅野　幸子</t>
  </si>
  <si>
    <t>静岡県</t>
  </si>
  <si>
    <t>菅野　幸子　様邸　新築工事</t>
  </si>
  <si>
    <t>スガノ サチコ サマテイ シンチクコウジ</t>
  </si>
  <si>
    <t>静岡県焼津市柳新屋648-2</t>
  </si>
  <si>
    <t>一級建築士大臣登録第291061号</t>
  </si>
  <si>
    <t>一級建築士事務所静岡県知事登録第(6)4774号</t>
  </si>
  <si>
    <t>株式会社山田工務店　一級建築士事務所</t>
  </si>
  <si>
    <t>(6)4774</t>
  </si>
  <si>
    <t>291061</t>
  </si>
  <si>
    <t>木村　賢</t>
  </si>
  <si>
    <t>054-621-5656</t>
  </si>
  <si>
    <t>425-0074</t>
  </si>
  <si>
    <t>0</t>
  </si>
  <si>
    <t>二級建築士静岡県知事登録第20124号</t>
  </si>
  <si>
    <t>20124</t>
  </si>
  <si>
    <t>川口　賢二</t>
  </si>
  <si>
    <t>一般財団法人静岡県建築住宅まちづくりセンター 理事長　柳　敏幸</t>
  </si>
  <si>
    <t>静岡県静岡市葵区新伝馬二丁目8-41-101</t>
  </si>
  <si>
    <t>スガノ サチコ</t>
  </si>
  <si>
    <t>090-9183-9120</t>
  </si>
  <si>
    <t>420-0944</t>
  </si>
  <si>
    <t>株式会社　山田工務店</t>
  </si>
  <si>
    <t>代表取締役　山田　耕治</t>
  </si>
  <si>
    <t>静岡県知事第(般-4)5640号</t>
  </si>
  <si>
    <t>(般-4)5640</t>
  </si>
  <si>
    <t>054-621-3838</t>
  </si>
  <si>
    <t>1</t>
  </si>
  <si>
    <t>完了検査・仮使用認定の際には記載ください</t>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</si>
</sst>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yyyy/mm/dd"/>
    <numFmt numFmtId="183" formatCode="[$-411]ggge&quot;年&quot;mm&quot;月&quot;dd&quot;日 ( &quot;aaa&quot; )&quot;;@"/>
    <numFmt numFmtId="184" formatCode="[$-F800]dddd\,\ mmmm\ dd\,\ yyyy"/>
    <numFmt numFmtId="185" formatCode="[&lt;=43585]gggee&quot;年&quot;mm&quot;月&quot;dd&quot;日&quot;;[&gt;=43831]gggee&quot;年&quot;mm&quot;月&quot;dd&quot;日&quot;;ggg&quot;元年&quot;mm&quot;月&quot;dd&quot;日&quot;"/>
    <numFmt numFmtId="186" formatCode="0.0"/>
    <numFmt numFmtId="187" formatCode="0_);\(0\)"/>
    <numFmt numFmtId="188" formatCode="[$]ggge&quot;年&quot;m&quot;月&quot;d&quot;日&quot;;@"/>
    <numFmt numFmtId="189" formatCode="ggg"/>
    <numFmt numFmtId="190" formatCode="m"/>
    <numFmt numFmtId="191" formatCode="d"/>
    <numFmt numFmtId="192" formatCode="0_);[Red]\(0\)"/>
    <numFmt numFmtId="193" formatCode="yyyy"/>
  </numFmts>
  <fonts count="60">
    <font>
      <sz val="11"/>
      <color theme="1"/>
      <name val="ＭＳ Ｐゴシック"/>
      <charset val="128"/>
    </font>
    <font>
      <sz val="11"/>
      <color theme="1"/>
      <name val="ＭＳ Ｐゴシック"/>
      <charset val="128"/>
      <scheme val="minor"/>
    </font>
    <font>
      <sz val="11"/>
      <color indexed="8"/>
      <name val="ＭＳ Ｐゴシック"/>
      <charset val="128"/>
    </font>
    <font>
      <sz val="11"/>
      <color theme="1"/>
      <name val="ＭＳ Ｐゴシック"/>
      <charset val="128"/>
    </font>
    <font>
      <sz val="10"/>
      <color theme="1"/>
      <name val="ＭＳ Ｐゴシック"/>
      <charset val="128"/>
    </font>
    <font>
      <sz val="12"/>
      <color theme="1"/>
      <name val="ＭＳ Ｐゴシック"/>
      <charset val="128"/>
    </font>
    <font>
      <sz val="9"/>
      <color theme="1"/>
      <name val="ＭＳ Ｐゴシック"/>
      <charset val="128"/>
    </font>
    <font>
      <sz val="9"/>
      <color theme="1"/>
      <name val="ＭＳ Ｐ明朝"/>
      <charset val="128"/>
    </font>
    <font>
      <sz val="11"/>
      <color theme="1"/>
      <name val="ＭＳ Ｐ明朝"/>
      <charset val="128"/>
    </font>
    <font>
      <sz val="8"/>
      <color theme="1"/>
      <name val="ＭＳ Ｐ明朝"/>
      <charset val="128"/>
    </font>
    <font>
      <sz val="11"/>
      <color indexed="8"/>
      <name val="ＭＳ 明朝"/>
      <charset val="128"/>
    </font>
    <font>
      <sz val="11"/>
      <color theme="1"/>
      <name val="ＭＳ 明朝"/>
      <charset val="128"/>
    </font>
    <font>
      <sz val="10"/>
      <color theme="1"/>
      <name val="ＭＳ 明朝"/>
      <charset val="128"/>
    </font>
    <font>
      <b/>
      <sz val="18"/>
      <color theme="1"/>
      <name val="ＭＳ ゴシック"/>
      <charset val="128"/>
    </font>
    <font>
      <sz val="10.5"/>
      <color theme="1"/>
      <name val="ＭＳ 明朝"/>
      <charset val="128"/>
    </font>
    <font>
      <sz val="9"/>
      <color indexed="10"/>
      <name val="ＭＳ Ｐゴシック"/>
      <charset val="128"/>
    </font>
    <font>
      <sz val="8"/>
      <color theme="1"/>
      <name val="ＭＳ 明朝"/>
      <charset val="128"/>
    </font>
    <font>
      <sz val="9"/>
      <color indexed="8"/>
      <name val="ＭＳ Ｐゴシック"/>
      <charset val="128"/>
    </font>
    <font>
      <sz val="10"/>
      <color rgb="FFFF0000"/>
      <name val="ＭＳ Ｐゴシック"/>
      <charset val="128"/>
    </font>
    <font>
      <u/>
      <sz val="11"/>
      <color theme="10"/>
      <name val="ＭＳ Ｐゴシック"/>
      <charset val="128"/>
      <scheme val="minor"/>
    </font>
    <font>
      <sz val="9"/>
      <color indexed="9"/>
      <name val="ＭＳ Ｐゴシック"/>
      <charset val="128"/>
    </font>
    <font>
      <b/>
      <sz val="18"/>
      <color indexed="56"/>
      <name val="ＭＳ Ｐゴシック"/>
      <charset val="128"/>
    </font>
    <font>
      <b/>
      <sz val="9"/>
      <color indexed="9"/>
      <name val="ＭＳ Ｐゴシック"/>
      <charset val="128"/>
    </font>
    <font>
      <sz val="9"/>
      <color indexed="60"/>
      <name val="ＭＳ Ｐゴシック"/>
      <charset val="128"/>
    </font>
    <font>
      <sz val="9"/>
      <color indexed="52"/>
      <name val="ＭＳ Ｐゴシック"/>
      <charset val="128"/>
    </font>
    <font>
      <sz val="9"/>
      <color indexed="20"/>
      <name val="ＭＳ Ｐゴシック"/>
      <charset val="128"/>
    </font>
    <font>
      <b/>
      <sz val="9"/>
      <color indexed="52"/>
      <name val="ＭＳ Ｐゴシック"/>
      <charset val="128"/>
    </font>
    <font>
      <b/>
      <sz val="15"/>
      <color indexed="56"/>
      <name val="ＭＳ Ｐゴシック"/>
      <charset val="128"/>
    </font>
    <font>
      <b/>
      <sz val="13"/>
      <color indexed="56"/>
      <name val="ＭＳ Ｐゴシック"/>
      <charset val="128"/>
    </font>
    <font>
      <b/>
      <sz val="11"/>
      <color indexed="56"/>
      <name val="ＭＳ Ｐゴシック"/>
      <charset val="128"/>
    </font>
    <font>
      <b/>
      <sz val="9"/>
      <color indexed="8"/>
      <name val="ＭＳ Ｐゴシック"/>
      <charset val="128"/>
    </font>
    <font>
      <b/>
      <sz val="9"/>
      <color indexed="63"/>
      <name val="ＭＳ Ｐゴシック"/>
      <charset val="128"/>
    </font>
    <font>
      <i/>
      <sz val="9"/>
      <color indexed="23"/>
      <name val="ＭＳ Ｐゴシック"/>
      <charset val="128"/>
    </font>
    <font>
      <sz val="9"/>
      <color indexed="62"/>
      <name val="ＭＳ Ｐゴシック"/>
      <charset val="128"/>
    </font>
    <font>
      <sz val="9"/>
      <color indexed="17"/>
      <name val="ＭＳ Ｐゴシック"/>
      <charset val="128"/>
    </font>
    <font>
      <sz val="10"/>
      <color indexed="8"/>
      <name val="ＭＳ Ｐゴシック"/>
      <charset val="128"/>
    </font>
    <font>
      <sz val="9"/>
      <color rgb="FFFF0000"/>
      <name val="ＭＳ Ｐゴシック"/>
      <charset val="128"/>
    </font>
    <font>
      <sz val="16"/>
      <color theme="1"/>
      <name val="ＭＳ 明朝"/>
      <charset val="128"/>
    </font>
    <font>
      <sz val="14"/>
      <color theme="1"/>
      <name val="ＭＳ 明朝"/>
      <charset val="128"/>
    </font>
    <font>
      <b/>
      <sz val="10.5"/>
      <color theme="1"/>
      <name val="ＭＳ 明朝"/>
      <charset val="128"/>
    </font>
    <font>
      <sz val="11"/>
      <color theme="1"/>
      <name val="明朝"/>
      <charset val="128"/>
    </font>
    <font>
      <sz val="9"/>
      <color theme="1"/>
      <name val="明朝"/>
      <charset val="128"/>
    </font>
    <font>
      <sz val="10"/>
      <color theme="1"/>
      <name val="明朝"/>
      <charset val="128"/>
    </font>
    <font>
      <sz val="12"/>
      <color theme="1"/>
      <name val="明朝"/>
      <charset val="128"/>
    </font>
    <font>
      <sz val="14"/>
      <color theme="1"/>
      <name val="明朝"/>
      <charset val="128"/>
    </font>
    <font>
      <strike/>
      <sz val="9"/>
      <color theme="1"/>
      <name val="明朝"/>
      <charset val="128"/>
    </font>
    <font>
      <sz val="16"/>
      <color theme="1"/>
      <name val="明朝"/>
      <charset val="128"/>
    </font>
    <font>
      <sz val="9"/>
      <color theme="1"/>
      <name val="ＭＳ 明朝"/>
      <family val="1"/>
      <charset val="128"/>
    </font>
    <font>
      <b/>
      <sz val="9"/>
      <color indexed="81"/>
      <name val="ＭＳ Ｐゴシック"/>
      <family val="3"/>
      <charset val="128"/>
    </font>
    <font>
      <b/>
      <sz val="11"/>
      <color theme="1"/>
      <name val="ＭＳ Ｐ明朝"/>
      <family val="1"/>
      <charset val="128"/>
    </font>
    <font>
      <sz val="10"/>
      <color theme="1"/>
      <name val="ＭＳ Ｐ明朝"/>
      <family val="1"/>
      <charset val="128"/>
    </font>
    <font>
      <sz val="10"/>
      <color indexed="8"/>
      <name val="ＭＳ 明朝"/>
      <family val="1"/>
      <charset val="128"/>
    </font>
    <font>
      <sz val="14"/>
      <color theme="1"/>
      <name val="ＭＳ Ｐゴシック"/>
      <family val="3"/>
      <charset val="128"/>
    </font>
    <font>
      <sz val="10.5"/>
      <color theme="1"/>
      <name val="ＭＳ Ｐゴシック"/>
      <family val="3"/>
      <charset val="128"/>
    </font>
    <font>
      <sz val="10"/>
      <color theme="1"/>
      <name val="游ゴシック"/>
      <family val="3"/>
      <charset val="128"/>
    </font>
    <font>
      <sz val="10"/>
      <color theme="1"/>
      <name val="ＭＳ Ｐゴシック"/>
      <family val="3"/>
      <charset val="128"/>
    </font>
    <font>
      <b/>
      <sz val="16"/>
      <color theme="1"/>
      <name val="ＭＳ Ｐゴシック"/>
      <family val="3"/>
      <charset val="128"/>
    </font>
    <font>
      <sz val="6"/>
      <name val="ＭＳ Ｐゴシック"/>
      <family val="3"/>
      <charset val="128"/>
    </font>
    <font>
      <b/>
      <sz val="12"/>
      <color theme="1"/>
      <name val="ＭＳ Ｐ明朝"/>
      <family val="1"/>
      <charset val="128"/>
    </font>
    <font>
      <sz val="11"/>
      <color theme="1"/>
      <name val="ＭＳ Ｐ明朝"/>
      <family val="1"/>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52"/>
        <bgColor indexed="64"/>
      </patternFill>
    </fill>
    <fill>
      <patternFill patternType="solid">
        <fgColor indexed="29"/>
        <bgColor indexed="64"/>
      </patternFill>
    </fill>
    <fill>
      <patternFill patternType="solid">
        <fgColor rgb="FFCCFFCC"/>
        <bgColor indexed="64"/>
      </patternFill>
    </fill>
    <fill>
      <patternFill patternType="solid">
        <fgColor rgb="FFCCFFFF"/>
        <bgColor indexed="64"/>
      </patternFill>
    </fill>
    <fill>
      <patternFill patternType="solid">
        <fgColor rgb="FFFF99CC"/>
        <bgColor indexed="64"/>
      </patternFill>
    </fill>
    <fill>
      <patternFill patternType="solid">
        <fgColor rgb="FFFFFF99"/>
        <bgColor indexed="64"/>
      </patternFill>
    </fill>
    <fill>
      <patternFill patternType="solid">
        <fgColor rgb="FF00FF00"/>
        <bgColor indexed="64"/>
      </patternFill>
    </fill>
    <fill>
      <patternFill patternType="solid">
        <fgColor rgb="FF99CCFF"/>
        <bgColor indexed="64"/>
      </patternFill>
    </fill>
    <fill>
      <patternFill patternType="solid">
        <fgColor rgb="FF99CC00"/>
        <bgColor indexed="64"/>
      </patternFill>
    </fill>
    <fill>
      <patternFill patternType="solid">
        <fgColor indexed="9"/>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2D05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right style="thin">
        <color auto="1"/>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top/>
      <bottom style="thin">
        <color auto="1"/>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23">
    <xf numFmtId="0" fontId="0" fillId="0" borderId="0">
      <alignment vertical="center"/>
    </xf>
    <xf numFmtId="0" fontId="1" fillId="0" borderId="0">
      <alignment vertical="center"/>
    </xf>
    <xf numFmtId="0" fontId="19" fillId="0" borderId="0" applyNumberFormat="0" applyAlignment="0" applyProtection="0">
      <alignment vertical="center"/>
    </xf>
    <xf numFmtId="0" fontId="3" fillId="0" borderId="0">
      <alignment vertical="center"/>
    </xf>
    <xf numFmtId="0" fontId="6" fillId="0" borderId="0">
      <alignment vertical="center"/>
    </xf>
    <xf numFmtId="0" fontId="17" fillId="2" borderId="0" applyNumberFormat="0" applyAlignment="0" applyProtection="0">
      <alignment vertical="center"/>
    </xf>
    <xf numFmtId="0" fontId="17" fillId="3" borderId="0" applyNumberFormat="0" applyAlignment="0" applyProtection="0">
      <alignment vertical="center"/>
    </xf>
    <xf numFmtId="0" fontId="17" fillId="4" borderId="0" applyNumberFormat="0" applyAlignment="0" applyProtection="0">
      <alignment vertical="center"/>
    </xf>
    <xf numFmtId="0" fontId="17" fillId="5" borderId="0" applyNumberFormat="0" applyAlignment="0" applyProtection="0">
      <alignment vertical="center"/>
    </xf>
    <xf numFmtId="0" fontId="17" fillId="6" borderId="0" applyNumberFormat="0" applyAlignment="0" applyProtection="0">
      <alignment vertical="center"/>
    </xf>
    <xf numFmtId="0" fontId="17" fillId="7" borderId="0" applyNumberFormat="0" applyAlignment="0" applyProtection="0">
      <alignment vertical="center"/>
    </xf>
    <xf numFmtId="0" fontId="17" fillId="8" borderId="0" applyNumberFormat="0" applyAlignment="0" applyProtection="0">
      <alignment vertical="center"/>
    </xf>
    <xf numFmtId="0" fontId="17" fillId="9" borderId="0" applyNumberFormat="0" applyAlignment="0" applyProtection="0">
      <alignment vertical="center"/>
    </xf>
    <xf numFmtId="0" fontId="17" fillId="10" borderId="0" applyNumberFormat="0" applyAlignment="0" applyProtection="0">
      <alignment vertical="center"/>
    </xf>
    <xf numFmtId="0" fontId="17" fillId="5" borderId="0" applyNumberFormat="0" applyAlignment="0" applyProtection="0">
      <alignment vertical="center"/>
    </xf>
    <xf numFmtId="0" fontId="17" fillId="8" borderId="0" applyNumberFormat="0" applyAlignment="0" applyProtection="0">
      <alignment vertical="center"/>
    </xf>
    <xf numFmtId="0" fontId="17" fillId="11" borderId="0" applyNumberFormat="0" applyAlignment="0" applyProtection="0">
      <alignment vertical="center"/>
    </xf>
    <xf numFmtId="0" fontId="20" fillId="12" borderId="0" applyNumberFormat="0" applyAlignment="0" applyProtection="0">
      <alignment vertical="center"/>
    </xf>
    <xf numFmtId="0" fontId="20" fillId="9" borderId="0" applyNumberFormat="0" applyAlignment="0" applyProtection="0">
      <alignment vertical="center"/>
    </xf>
    <xf numFmtId="0" fontId="20" fillId="10" borderId="0" applyNumberFormat="0" applyAlignment="0" applyProtection="0">
      <alignment vertical="center"/>
    </xf>
    <xf numFmtId="0" fontId="20" fillId="13" borderId="0" applyNumberFormat="0" applyAlignment="0" applyProtection="0">
      <alignment vertical="center"/>
    </xf>
    <xf numFmtId="0" fontId="20" fillId="14" borderId="0" applyNumberFormat="0" applyAlignment="0" applyProtection="0">
      <alignment vertical="center"/>
    </xf>
    <xf numFmtId="0" fontId="20" fillId="15" borderId="0" applyNumberFormat="0" applyAlignment="0" applyProtection="0">
      <alignment vertical="center"/>
    </xf>
    <xf numFmtId="0" fontId="20" fillId="16" borderId="0" applyNumberFormat="0" applyAlignment="0" applyProtection="0">
      <alignment vertical="center"/>
    </xf>
    <xf numFmtId="0" fontId="20" fillId="17" borderId="0" applyNumberFormat="0" applyAlignment="0" applyProtection="0">
      <alignment vertical="center"/>
    </xf>
    <xf numFmtId="0" fontId="20" fillId="18" borderId="0" applyNumberFormat="0" applyAlignment="0" applyProtection="0">
      <alignment vertical="center"/>
    </xf>
    <xf numFmtId="0" fontId="20" fillId="13" borderId="0" applyNumberFormat="0" applyAlignment="0" applyProtection="0">
      <alignment vertical="center"/>
    </xf>
    <xf numFmtId="0" fontId="20" fillId="14" borderId="0" applyNumberFormat="0" applyAlignment="0" applyProtection="0">
      <alignment vertical="center"/>
    </xf>
    <xf numFmtId="0" fontId="20" fillId="19" borderId="0" applyNumberFormat="0" applyAlignment="0" applyProtection="0">
      <alignment vertical="center"/>
    </xf>
    <xf numFmtId="0" fontId="21" fillId="0" borderId="0" applyNumberFormat="0" applyAlignment="0" applyProtection="0">
      <alignment vertical="center"/>
    </xf>
    <xf numFmtId="0" fontId="22" fillId="20" borderId="1" applyNumberFormat="0" applyAlignment="0" applyProtection="0">
      <alignment vertical="center"/>
    </xf>
    <xf numFmtId="0" fontId="23" fillId="21" borderId="0" applyNumberFormat="0" applyAlignment="0" applyProtection="0">
      <alignment vertical="center"/>
    </xf>
    <xf numFmtId="9" fontId="3" fillId="0" borderId="0" applyFont="0" applyAlignment="0" applyProtection="0"/>
    <xf numFmtId="0" fontId="17" fillId="22" borderId="2" applyNumberFormat="0" applyFont="0" applyAlignment="0" applyProtection="0">
      <alignment vertical="center"/>
    </xf>
    <xf numFmtId="0" fontId="24" fillId="0" borderId="3" applyNumberFormat="0" applyAlignment="0" applyProtection="0">
      <alignment vertical="center"/>
    </xf>
    <xf numFmtId="0" fontId="25" fillId="3" borderId="0" applyNumberFormat="0" applyAlignment="0" applyProtection="0">
      <alignment vertical="center"/>
    </xf>
    <xf numFmtId="0" fontId="26" fillId="23" borderId="4" applyNumberFormat="0" applyAlignment="0" applyProtection="0">
      <alignment vertical="center"/>
    </xf>
    <xf numFmtId="0" fontId="15" fillId="0" borderId="0" applyNumberFormat="0" applyAlignment="0" applyProtection="0">
      <alignment vertical="center"/>
    </xf>
    <xf numFmtId="38" fontId="3" fillId="0" borderId="0" applyFont="0" applyAlignment="0" applyProtection="0"/>
    <xf numFmtId="0" fontId="27" fillId="0" borderId="5" applyNumberFormat="0" applyAlignment="0" applyProtection="0">
      <alignment vertical="center"/>
    </xf>
    <xf numFmtId="0" fontId="28" fillId="0" borderId="6" applyNumberFormat="0" applyAlignment="0" applyProtection="0">
      <alignment vertical="center"/>
    </xf>
    <xf numFmtId="0" fontId="29" fillId="0" borderId="7" applyNumberFormat="0" applyAlignment="0" applyProtection="0">
      <alignment vertical="center"/>
    </xf>
    <xf numFmtId="0" fontId="29" fillId="0" borderId="0" applyNumberFormat="0" applyAlignment="0" applyProtection="0">
      <alignment vertical="center"/>
    </xf>
    <xf numFmtId="0" fontId="30" fillId="0" borderId="8" applyNumberFormat="0" applyAlignment="0" applyProtection="0">
      <alignment vertical="center"/>
    </xf>
    <xf numFmtId="0" fontId="31" fillId="23" borderId="9" applyNumberFormat="0" applyAlignment="0" applyProtection="0">
      <alignment vertical="center"/>
    </xf>
    <xf numFmtId="0" fontId="32" fillId="0" borderId="0" applyNumberFormat="0" applyAlignment="0" applyProtection="0">
      <alignment vertical="center"/>
    </xf>
    <xf numFmtId="6" fontId="6" fillId="0" borderId="0" applyFont="0" applyAlignment="0" applyProtection="0">
      <alignment vertical="center"/>
    </xf>
    <xf numFmtId="6" fontId="3" fillId="0" borderId="0" applyFont="0" applyAlignment="0" applyProtection="0"/>
    <xf numFmtId="0" fontId="33" fillId="7" borderId="4" applyNumberFormat="0" applyAlignment="0" applyProtection="0">
      <alignment vertical="center"/>
    </xf>
    <xf numFmtId="0" fontId="11" fillId="0" borderId="0"/>
    <xf numFmtId="0" fontId="3" fillId="0" borderId="0">
      <alignment vertical="center"/>
    </xf>
    <xf numFmtId="0" fontId="3" fillId="0" borderId="0"/>
    <xf numFmtId="0" fontId="3" fillId="0" borderId="0"/>
    <xf numFmtId="0" fontId="3" fillId="0" borderId="0">
      <alignment vertical="center"/>
    </xf>
    <xf numFmtId="0" fontId="34" fillId="4" borderId="0" applyNumberFormat="0" applyAlignment="0" applyProtection="0">
      <alignment vertical="center"/>
    </xf>
    <xf numFmtId="0" fontId="17" fillId="0" borderId="0">
      <alignment vertical="center"/>
    </xf>
    <xf numFmtId="0" fontId="3" fillId="0" borderId="0">
      <alignment vertical="center"/>
    </xf>
    <xf numFmtId="0" fontId="11" fillId="0" borderId="0"/>
    <xf numFmtId="0" fontId="3" fillId="0" borderId="0"/>
    <xf numFmtId="9" fontId="3" fillId="0" borderId="0" applyFont="0" applyAlignment="0" applyProtection="0"/>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3" fillId="0" borderId="0" applyFont="0" applyAlignment="0" applyProtection="0"/>
    <xf numFmtId="6" fontId="2" fillId="0" borderId="0" applyFont="0" applyAlignment="0" applyProtection="0">
      <alignment vertical="center"/>
    </xf>
    <xf numFmtId="6" fontId="3" fillId="0" borderId="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11" fillId="0" borderId="0"/>
    <xf numFmtId="0" fontId="6" fillId="0" borderId="0">
      <alignment vertical="center"/>
    </xf>
    <xf numFmtId="0" fontId="3" fillId="0" borderId="0"/>
    <xf numFmtId="0" fontId="3" fillId="0" borderId="0"/>
    <xf numFmtId="0" fontId="3" fillId="0" borderId="0"/>
    <xf numFmtId="0" fontId="6" fillId="0" borderId="0">
      <alignment vertical="center"/>
    </xf>
    <xf numFmtId="0" fontId="3" fillId="0" borderId="0">
      <alignment vertical="center"/>
    </xf>
  </cellStyleXfs>
  <cellXfs count="872">
    <xf numFmtId="0" fontId="0" fillId="0" borderId="0" xfId="0" applyNumberFormat="1" applyFont="1" applyFill="1" applyBorder="1" applyAlignment="1" applyProtection="1">
      <alignment vertical="center"/>
    </xf>
    <xf numFmtId="0" fontId="4" fillId="24" borderId="10" xfId="0" applyNumberFormat="1" applyFont="1" applyFill="1" applyBorder="1" applyAlignment="1" applyProtection="1">
      <alignment vertical="center" wrapText="1"/>
    </xf>
    <xf numFmtId="0" fontId="4" fillId="27" borderId="10" xfId="0" applyNumberFormat="1" applyFont="1" applyFill="1" applyBorder="1" applyAlignment="1" applyProtection="1">
      <alignment vertical="center" wrapText="1"/>
    </xf>
    <xf numFmtId="49" fontId="0" fillId="0" borderId="0" xfId="0" applyNumberFormat="1" applyFont="1" applyFill="1" applyBorder="1" applyAlignment="1" applyProtection="1">
      <alignment vertical="center"/>
    </xf>
    <xf numFmtId="0" fontId="0" fillId="28" borderId="0" xfId="0" applyNumberFormat="1" applyFont="1" applyFill="1" applyBorder="1" applyAlignment="1" applyProtection="1">
      <alignment vertical="center"/>
    </xf>
    <xf numFmtId="0" fontId="0" fillId="26" borderId="0" xfId="0" applyNumberFormat="1" applyFont="1" applyFill="1" applyBorder="1" applyAlignment="1" applyProtection="1">
      <alignment vertical="center"/>
    </xf>
    <xf numFmtId="0" fontId="0" fillId="29" borderId="0" xfId="0" applyNumberFormat="1" applyFont="1" applyFill="1" applyBorder="1" applyAlignment="1" applyProtection="1">
      <alignment vertical="center"/>
    </xf>
    <xf numFmtId="0" fontId="4" fillId="24" borderId="12" xfId="0" applyNumberFormat="1" applyFont="1" applyFill="1" applyBorder="1" applyAlignment="1" applyProtection="1">
      <alignment vertical="center" wrapText="1"/>
    </xf>
    <xf numFmtId="0" fontId="4" fillId="24" borderId="13" xfId="0" applyNumberFormat="1" applyFont="1" applyFill="1" applyBorder="1" applyAlignment="1" applyProtection="1">
      <alignment vertical="center" wrapText="1"/>
    </xf>
    <xf numFmtId="0" fontId="4" fillId="27" borderId="12"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left" vertical="center"/>
    </xf>
    <xf numFmtId="0" fontId="1" fillId="0" borderId="0" xfId="1" applyNumberFormat="1" applyFont="1" applyFill="1" applyBorder="1" applyAlignment="1" applyProtection="1">
      <alignment vertical="center"/>
    </xf>
    <xf numFmtId="0" fontId="19" fillId="0" borderId="0" xfId="2" applyNumberFormat="1" applyFont="1" applyFill="1" applyBorder="1" applyAlignment="1" applyProtection="1">
      <alignment vertical="center"/>
    </xf>
    <xf numFmtId="0" fontId="12" fillId="0" borderId="0" xfId="1" applyNumberFormat="1" applyFont="1" applyFill="1" applyBorder="1" applyAlignment="1" applyProtection="1">
      <alignment vertical="center"/>
      <protection locked="0"/>
    </xf>
    <xf numFmtId="0" fontId="19" fillId="0" borderId="0" xfId="2" applyNumberFormat="1" applyFont="1" applyFill="1" applyBorder="1" applyAlignment="1" applyProtection="1">
      <alignment horizontal="center" vertical="center"/>
    </xf>
    <xf numFmtId="0" fontId="0" fillId="0" borderId="0" xfId="1" applyNumberFormat="1" applyFont="1" applyFill="1" applyBorder="1" applyAlignment="1" applyProtection="1">
      <alignment vertical="center"/>
      <protection locked="0"/>
    </xf>
    <xf numFmtId="49" fontId="1" fillId="0" borderId="0" xfId="1" applyNumberFormat="1" applyFont="1" applyFill="1" applyBorder="1" applyAlignment="1" applyProtection="1">
      <alignment vertical="center"/>
    </xf>
    <xf numFmtId="0" fontId="14" fillId="0" borderId="0" xfId="1" applyNumberFormat="1" applyFont="1" applyFill="1" applyBorder="1" applyAlignment="1" applyProtection="1">
      <alignment vertical="center"/>
    </xf>
    <xf numFmtId="0" fontId="1" fillId="0" borderId="0" xfId="1" applyNumberFormat="1" applyFont="1" applyFill="1" applyBorder="1" applyAlignment="1" applyProtection="1">
      <alignment horizontal="center" vertical="center"/>
    </xf>
    <xf numFmtId="0" fontId="4" fillId="0" borderId="11" xfId="3" applyNumberFormat="1" applyFont="1" applyFill="1" applyBorder="1" applyAlignment="1" applyProtection="1">
      <alignment vertical="center"/>
      <protection locked="0"/>
    </xf>
    <xf numFmtId="0" fontId="4" fillId="24" borderId="0" xfId="0" applyNumberFormat="1" applyFont="1" applyFill="1" applyBorder="1" applyAlignment="1" applyProtection="1">
      <alignment vertical="center" wrapText="1"/>
    </xf>
    <xf numFmtId="0" fontId="4" fillId="24" borderId="14" xfId="0" applyNumberFormat="1" applyFont="1" applyFill="1" applyBorder="1" applyAlignment="1" applyProtection="1">
      <alignment vertical="center" wrapText="1"/>
    </xf>
    <xf numFmtId="0" fontId="4" fillId="24" borderId="15" xfId="0" applyNumberFormat="1" applyFont="1" applyFill="1" applyBorder="1" applyAlignment="1" applyProtection="1">
      <alignment vertical="center" wrapText="1"/>
    </xf>
    <xf numFmtId="0" fontId="4" fillId="24" borderId="10" xfId="0" applyNumberFormat="1" applyFont="1" applyFill="1" applyBorder="1" applyAlignment="1" applyProtection="1">
      <alignment vertical="center" shrinkToFit="1"/>
    </xf>
    <xf numFmtId="0" fontId="4" fillId="24" borderId="13" xfId="0" applyNumberFormat="1" applyFont="1" applyFill="1" applyBorder="1" applyAlignment="1" applyProtection="1">
      <alignment vertical="center" shrinkToFit="1"/>
    </xf>
    <xf numFmtId="0" fontId="4" fillId="30" borderId="0" xfId="0" applyNumberFormat="1" applyFont="1" applyFill="1" applyBorder="1" applyAlignment="1" applyProtection="1">
      <alignment vertical="center" wrapText="1"/>
    </xf>
    <xf numFmtId="0" fontId="35"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top"/>
    </xf>
    <xf numFmtId="0" fontId="4" fillId="0" borderId="0" xfId="0" applyNumberFormat="1" applyFont="1" applyFill="1" applyBorder="1" applyAlignment="1" applyProtection="1">
      <alignment horizontal="left" vertical="top" wrapText="1"/>
    </xf>
    <xf numFmtId="49" fontId="4" fillId="30" borderId="12" xfId="0" applyNumberFormat="1" applyFont="1" applyFill="1" applyBorder="1" applyAlignment="1" applyProtection="1">
      <alignment horizontal="left" vertical="center"/>
    </xf>
    <xf numFmtId="49" fontId="4" fillId="30" borderId="15" xfId="0" applyNumberFormat="1" applyFont="1" applyFill="1" applyBorder="1" applyAlignment="1" applyProtection="1">
      <alignment horizontal="left" vertical="center"/>
    </xf>
    <xf numFmtId="49" fontId="4" fillId="30" borderId="12" xfId="0" applyNumberFormat="1" applyFont="1" applyFill="1" applyBorder="1" applyAlignment="1" applyProtection="1">
      <alignment horizontal="left" vertical="top"/>
    </xf>
    <xf numFmtId="49" fontId="4" fillId="30" borderId="16" xfId="0" applyNumberFormat="1" applyFont="1" applyFill="1" applyBorder="1" applyAlignment="1" applyProtection="1">
      <alignment horizontal="left" vertical="center"/>
    </xf>
    <xf numFmtId="49" fontId="4" fillId="30" borderId="17" xfId="0" applyNumberFormat="1" applyFont="1" applyFill="1" applyBorder="1" applyAlignment="1" applyProtection="1">
      <alignment horizontal="left" vertical="center"/>
    </xf>
    <xf numFmtId="0" fontId="4" fillId="30" borderId="18" xfId="0" applyNumberFormat="1" applyFont="1" applyFill="1" applyBorder="1" applyAlignment="1" applyProtection="1">
      <alignment vertical="center"/>
    </xf>
    <xf numFmtId="0" fontId="4" fillId="24" borderId="18" xfId="0" applyNumberFormat="1" applyFont="1" applyFill="1" applyBorder="1" applyAlignment="1" applyProtection="1">
      <alignment vertical="center" wrapText="1"/>
    </xf>
    <xf numFmtId="0" fontId="4" fillId="30" borderId="0" xfId="0" applyNumberFormat="1" applyFont="1" applyFill="1" applyBorder="1" applyAlignment="1" applyProtection="1">
      <alignment vertical="center"/>
    </xf>
    <xf numFmtId="0" fontId="4" fillId="24" borderId="16" xfId="0" applyNumberFormat="1" applyFont="1" applyFill="1" applyBorder="1" applyAlignment="1" applyProtection="1">
      <alignment vertical="center" wrapText="1"/>
    </xf>
    <xf numFmtId="0" fontId="4" fillId="30" borderId="10" xfId="0" applyNumberFormat="1" applyFont="1" applyFill="1" applyBorder="1" applyAlignment="1" applyProtection="1">
      <alignment vertical="center" wrapText="1"/>
    </xf>
    <xf numFmtId="0" fontId="4" fillId="30" borderId="14" xfId="0" applyNumberFormat="1" applyFont="1" applyFill="1" applyBorder="1" applyAlignment="1" applyProtection="1">
      <alignment vertical="center" wrapText="1"/>
    </xf>
    <xf numFmtId="0" fontId="4" fillId="30" borderId="10" xfId="0" applyNumberFormat="1" applyFont="1" applyFill="1" applyBorder="1" applyAlignment="1" applyProtection="1">
      <alignment vertical="center"/>
    </xf>
    <xf numFmtId="0" fontId="4" fillId="30" borderId="14" xfId="0" applyNumberFormat="1" applyFont="1" applyFill="1" applyBorder="1" applyAlignment="1" applyProtection="1">
      <alignment vertical="center"/>
    </xf>
    <xf numFmtId="0" fontId="4" fillId="30" borderId="12" xfId="0" applyNumberFormat="1" applyFont="1" applyFill="1" applyBorder="1" applyAlignment="1" applyProtection="1">
      <alignment vertical="center"/>
    </xf>
    <xf numFmtId="0" fontId="4" fillId="30" borderId="13" xfId="0" applyNumberFormat="1" applyFont="1" applyFill="1" applyBorder="1" applyAlignment="1" applyProtection="1">
      <alignment vertical="center"/>
    </xf>
    <xf numFmtId="0" fontId="4" fillId="31" borderId="10" xfId="0" applyNumberFormat="1" applyFont="1" applyFill="1" applyBorder="1" applyAlignment="1" applyProtection="1">
      <alignment vertical="center" wrapText="1"/>
    </xf>
    <xf numFmtId="0" fontId="4" fillId="31" borderId="14" xfId="0" applyNumberFormat="1" applyFont="1" applyFill="1" applyBorder="1" applyAlignment="1" applyProtection="1">
      <alignment vertical="center" wrapText="1"/>
    </xf>
    <xf numFmtId="0" fontId="4" fillId="31" borderId="18" xfId="0" applyNumberFormat="1" applyFont="1" applyFill="1" applyBorder="1" applyAlignment="1" applyProtection="1">
      <alignment vertical="center" wrapText="1"/>
    </xf>
    <xf numFmtId="0" fontId="4" fillId="31" borderId="19" xfId="0" applyNumberFormat="1" applyFont="1" applyFill="1" applyBorder="1" applyAlignment="1" applyProtection="1">
      <alignment vertical="center" wrapText="1"/>
    </xf>
    <xf numFmtId="0" fontId="4" fillId="31" borderId="2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30" borderId="21" xfId="0" applyNumberFormat="1" applyFont="1" applyFill="1" applyBorder="1" applyAlignment="1" applyProtection="1">
      <alignment vertical="center" wrapText="1"/>
    </xf>
    <xf numFmtId="0" fontId="4" fillId="31" borderId="17" xfId="0" applyNumberFormat="1" applyFont="1" applyFill="1" applyBorder="1" applyAlignment="1" applyProtection="1">
      <alignment vertical="center" wrapText="1"/>
    </xf>
    <xf numFmtId="0" fontId="4" fillId="24" borderId="0" xfId="0" applyNumberFormat="1" applyFont="1" applyFill="1" applyBorder="1" applyAlignment="1" applyProtection="1">
      <alignment vertical="center"/>
    </xf>
    <xf numFmtId="0" fontId="4" fillId="31" borderId="12" xfId="0" applyNumberFormat="1" applyFont="1" applyFill="1" applyBorder="1" applyAlignment="1" applyProtection="1">
      <alignment vertical="center"/>
    </xf>
    <xf numFmtId="0" fontId="4" fillId="31" borderId="13" xfId="0" applyNumberFormat="1" applyFont="1" applyFill="1" applyBorder="1" applyAlignment="1" applyProtection="1">
      <alignment vertical="center"/>
    </xf>
    <xf numFmtId="0" fontId="4" fillId="30" borderId="22" xfId="0" applyNumberFormat="1" applyFont="1" applyFill="1" applyBorder="1" applyAlignment="1" applyProtection="1">
      <alignment vertical="center"/>
    </xf>
    <xf numFmtId="0" fontId="4" fillId="31" borderId="16" xfId="0" applyNumberFormat="1" applyFont="1" applyFill="1" applyBorder="1" applyAlignment="1" applyProtection="1">
      <alignment horizontal="left" vertical="center"/>
    </xf>
    <xf numFmtId="0" fontId="6" fillId="32" borderId="0" xfId="0" applyNumberFormat="1" applyFont="1" applyFill="1" applyBorder="1" applyAlignment="1" applyProtection="1">
      <alignment horizontal="left" vertical="center"/>
    </xf>
    <xf numFmtId="0" fontId="36" fillId="0" borderId="0" xfId="0" applyNumberFormat="1" applyFont="1" applyFill="1" applyBorder="1" applyAlignment="1" applyProtection="1">
      <alignment horizontal="left" vertical="center"/>
    </xf>
    <xf numFmtId="0" fontId="4" fillId="30" borderId="15" xfId="0" applyNumberFormat="1" applyFont="1" applyFill="1" applyBorder="1" applyAlignment="1" applyProtection="1">
      <alignment vertical="center"/>
    </xf>
    <xf numFmtId="0" fontId="4" fillId="24" borderId="23" xfId="0" applyNumberFormat="1" applyFont="1" applyFill="1" applyBorder="1" applyAlignment="1" applyProtection="1">
      <alignment vertical="center" wrapText="1"/>
    </xf>
    <xf numFmtId="0" fontId="4" fillId="24" borderId="24" xfId="0" applyNumberFormat="1" applyFont="1" applyFill="1" applyBorder="1" applyAlignment="1" applyProtection="1">
      <alignment vertical="center" wrapText="1"/>
    </xf>
    <xf numFmtId="0" fontId="4" fillId="24" borderId="17" xfId="0" applyNumberFormat="1" applyFont="1" applyFill="1" applyBorder="1" applyAlignment="1" applyProtection="1">
      <alignment vertical="center" wrapText="1"/>
    </xf>
    <xf numFmtId="0" fontId="4" fillId="24" borderId="25" xfId="0" applyNumberFormat="1" applyFont="1" applyFill="1" applyBorder="1" applyAlignment="1" applyProtection="1">
      <alignment vertical="center" wrapText="1"/>
    </xf>
    <xf numFmtId="0" fontId="4" fillId="24" borderId="26" xfId="0" applyNumberFormat="1" applyFont="1" applyFill="1" applyBorder="1" applyAlignment="1" applyProtection="1">
      <alignment vertical="center" wrapText="1"/>
    </xf>
    <xf numFmtId="0" fontId="4" fillId="24" borderId="27" xfId="0" applyNumberFormat="1" applyFont="1" applyFill="1" applyBorder="1" applyAlignment="1" applyProtection="1">
      <alignment vertical="center" wrapText="1"/>
    </xf>
    <xf numFmtId="49" fontId="4" fillId="30" borderId="26" xfId="0" applyNumberFormat="1" applyFont="1" applyFill="1" applyBorder="1" applyAlignment="1" applyProtection="1">
      <alignment vertical="center"/>
    </xf>
    <xf numFmtId="0" fontId="4" fillId="30" borderId="26" xfId="0" applyNumberFormat="1" applyFont="1" applyFill="1" applyBorder="1" applyAlignment="1" applyProtection="1">
      <alignment vertical="center"/>
    </xf>
    <xf numFmtId="0" fontId="4" fillId="30" borderId="27" xfId="0" applyNumberFormat="1" applyFont="1" applyFill="1" applyBorder="1" applyAlignment="1" applyProtection="1">
      <alignment vertical="center"/>
    </xf>
    <xf numFmtId="0" fontId="4" fillId="31" borderId="26" xfId="0" applyNumberFormat="1" applyFont="1" applyFill="1" applyBorder="1" applyAlignment="1" applyProtection="1">
      <alignment vertical="center" wrapText="1"/>
    </xf>
    <xf numFmtId="0" fontId="4" fillId="30" borderId="26" xfId="0" applyNumberFormat="1" applyFont="1" applyFill="1" applyBorder="1" applyAlignment="1" applyProtection="1">
      <alignment vertical="center" wrapText="1"/>
    </xf>
    <xf numFmtId="49" fontId="4" fillId="30" borderId="26" xfId="0" applyNumberFormat="1" applyFont="1" applyFill="1" applyBorder="1" applyAlignment="1" applyProtection="1">
      <alignment horizontal="left" vertical="top"/>
    </xf>
    <xf numFmtId="49" fontId="4" fillId="30" borderId="26" xfId="0" applyNumberFormat="1" applyFont="1" applyFill="1" applyBorder="1" applyAlignment="1" applyProtection="1">
      <alignment horizontal="left" vertical="center"/>
    </xf>
    <xf numFmtId="0" fontId="35" fillId="30" borderId="27" xfId="0" applyNumberFormat="1" applyFont="1" applyFill="1" applyBorder="1" applyAlignment="1" applyProtection="1">
      <alignment vertical="center"/>
    </xf>
    <xf numFmtId="0" fontId="4" fillId="30" borderId="28" xfId="0" applyNumberFormat="1" applyFont="1" applyFill="1" applyBorder="1" applyAlignment="1" applyProtection="1">
      <alignment vertical="center"/>
    </xf>
    <xf numFmtId="0" fontId="4" fillId="24" borderId="26" xfId="0" applyNumberFormat="1" applyFont="1" applyFill="1" applyBorder="1" applyAlignment="1" applyProtection="1">
      <alignment vertical="center" shrinkToFit="1"/>
    </xf>
    <xf numFmtId="0" fontId="4" fillId="30" borderId="12" xfId="0" applyNumberFormat="1" applyFont="1" applyFill="1" applyBorder="1" applyAlignment="1" applyProtection="1">
      <alignment vertical="center" wrapText="1"/>
    </xf>
    <xf numFmtId="0" fontId="4" fillId="30" borderId="13" xfId="0" applyNumberFormat="1" applyFont="1" applyFill="1" applyBorder="1" applyAlignment="1" applyProtection="1">
      <alignment vertical="center" wrapText="1"/>
    </xf>
    <xf numFmtId="0" fontId="4" fillId="30" borderId="27" xfId="0" applyNumberFormat="1" applyFont="1" applyFill="1" applyBorder="1" applyAlignment="1" applyProtection="1">
      <alignment vertical="center" wrapText="1"/>
    </xf>
    <xf numFmtId="0" fontId="4" fillId="24" borderId="29" xfId="0" applyNumberFormat="1" applyFont="1" applyFill="1" applyBorder="1" applyAlignment="1" applyProtection="1">
      <alignment vertical="center" wrapText="1"/>
    </xf>
    <xf numFmtId="0" fontId="4" fillId="24" borderId="10" xfId="0" applyNumberFormat="1" applyFont="1" applyFill="1" applyBorder="1" applyAlignment="1" applyProtection="1">
      <alignment vertical="center"/>
    </xf>
    <xf numFmtId="0" fontId="4" fillId="30" borderId="23" xfId="0" applyNumberFormat="1" applyFont="1" applyFill="1" applyBorder="1" applyAlignment="1" applyProtection="1">
      <alignment vertical="center"/>
    </xf>
    <xf numFmtId="49" fontId="4" fillId="24" borderId="12" xfId="0" applyNumberFormat="1" applyFont="1" applyFill="1" applyBorder="1" applyAlignment="1" applyProtection="1">
      <alignment vertical="center"/>
    </xf>
    <xf numFmtId="49" fontId="4" fillId="24" borderId="12" xfId="0" applyNumberFormat="1" applyFont="1" applyFill="1" applyBorder="1" applyAlignment="1" applyProtection="1">
      <alignment vertical="center" shrinkToFit="1"/>
    </xf>
    <xf numFmtId="49" fontId="4" fillId="24" borderId="13" xfId="0" applyNumberFormat="1" applyFont="1" applyFill="1" applyBorder="1" applyAlignment="1" applyProtection="1">
      <alignment vertical="center" shrinkToFit="1"/>
    </xf>
    <xf numFmtId="49" fontId="4" fillId="24" borderId="16" xfId="0" applyNumberFormat="1" applyFont="1" applyFill="1" applyBorder="1" applyAlignment="1" applyProtection="1">
      <alignment vertical="center"/>
    </xf>
    <xf numFmtId="49" fontId="4" fillId="24" borderId="25" xfId="0" applyNumberFormat="1" applyFont="1" applyFill="1" applyBorder="1" applyAlignment="1" applyProtection="1">
      <alignment vertical="center" shrinkToFit="1"/>
    </xf>
    <xf numFmtId="49" fontId="4" fillId="24" borderId="29" xfId="0" applyNumberFormat="1" applyFont="1" applyFill="1" applyBorder="1" applyAlignment="1" applyProtection="1">
      <alignment vertical="center" shrinkToFit="1"/>
    </xf>
    <xf numFmtId="49" fontId="4" fillId="24" borderId="30" xfId="0" applyNumberFormat="1" applyFont="1" applyFill="1" applyBorder="1" applyAlignment="1" applyProtection="1">
      <alignment vertical="center" shrinkToFit="1"/>
    </xf>
    <xf numFmtId="0" fontId="4" fillId="24" borderId="14" xfId="0" applyNumberFormat="1" applyFont="1" applyFill="1" applyBorder="1" applyAlignment="1" applyProtection="1">
      <alignment vertical="center" shrinkToFit="1"/>
    </xf>
    <xf numFmtId="0" fontId="4" fillId="24" borderId="22" xfId="0" applyNumberFormat="1" applyFont="1" applyFill="1" applyBorder="1" applyAlignment="1" applyProtection="1">
      <alignment vertical="center" shrinkToFit="1"/>
    </xf>
    <xf numFmtId="0" fontId="4" fillId="30" borderId="10" xfId="0" applyNumberFormat="1" applyFont="1" applyFill="1" applyBorder="1" applyAlignment="1" applyProtection="1">
      <alignment vertical="center" shrinkToFit="1"/>
    </xf>
    <xf numFmtId="0" fontId="4" fillId="30" borderId="14" xfId="0" applyNumberFormat="1" applyFont="1" applyFill="1" applyBorder="1" applyAlignment="1" applyProtection="1">
      <alignment vertical="center" shrinkToFit="1"/>
    </xf>
    <xf numFmtId="176" fontId="4" fillId="0" borderId="0" xfId="0" applyNumberFormat="1" applyFont="1" applyFill="1" applyBorder="1" applyAlignment="1" applyProtection="1">
      <alignment horizontal="left" vertical="center"/>
    </xf>
    <xf numFmtId="0" fontId="12" fillId="30" borderId="24" xfId="1" applyNumberFormat="1" applyFont="1" applyFill="1" applyBorder="1" applyAlignment="1" applyProtection="1">
      <alignment vertical="center"/>
      <protection locked="0"/>
    </xf>
    <xf numFmtId="0" fontId="12" fillId="30" borderId="0" xfId="1" applyNumberFormat="1" applyFont="1" applyFill="1" applyBorder="1" applyAlignment="1" applyProtection="1">
      <alignment vertical="center"/>
      <protection locked="0"/>
    </xf>
    <xf numFmtId="0" fontId="12" fillId="30" borderId="12" xfId="1" applyNumberFormat="1" applyFont="1" applyFill="1" applyBorder="1" applyAlignment="1" applyProtection="1">
      <alignment vertical="center"/>
      <protection locked="0"/>
    </xf>
    <xf numFmtId="0" fontId="4" fillId="30" borderId="31"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4" fillId="30" borderId="32" xfId="0" applyNumberFormat="1" applyFont="1" applyFill="1" applyBorder="1" applyAlignment="1" applyProtection="1">
      <alignment vertical="center"/>
    </xf>
    <xf numFmtId="177" fontId="4" fillId="0" borderId="0" xfId="0" applyNumberFormat="1" applyFont="1" applyFill="1" applyBorder="1" applyAlignment="1" applyProtection="1">
      <alignment vertical="center"/>
    </xf>
    <xf numFmtId="177" fontId="4" fillId="0" borderId="0" xfId="0" applyNumberFormat="1" applyFont="1" applyFill="1" applyBorder="1" applyAlignment="1" applyProtection="1">
      <alignment horizontal="left" vertical="center"/>
    </xf>
    <xf numFmtId="0" fontId="4" fillId="30" borderId="24" xfId="0" applyNumberFormat="1" applyFont="1" applyFill="1" applyBorder="1" applyAlignment="1" applyProtection="1">
      <alignment vertical="center"/>
    </xf>
    <xf numFmtId="0" fontId="4" fillId="30" borderId="17" xfId="0" applyNumberFormat="1" applyFont="1" applyFill="1" applyBorder="1" applyAlignment="1" applyProtection="1">
      <alignment vertical="center"/>
    </xf>
    <xf numFmtId="0" fontId="4" fillId="31" borderId="14" xfId="0" applyNumberFormat="1" applyFont="1" applyFill="1" applyBorder="1" applyAlignment="1" applyProtection="1">
      <alignment vertical="center"/>
    </xf>
    <xf numFmtId="0" fontId="4" fillId="31" borderId="12" xfId="0" applyNumberFormat="1" applyFont="1" applyFill="1" applyBorder="1" applyAlignment="1" applyProtection="1">
      <alignment vertical="center" wrapText="1"/>
    </xf>
    <xf numFmtId="0" fontId="4" fillId="31" borderId="26" xfId="0" applyNumberFormat="1" applyFont="1" applyFill="1" applyBorder="1" applyAlignment="1" applyProtection="1">
      <alignment vertical="center"/>
    </xf>
    <xf numFmtId="0" fontId="4" fillId="31" borderId="27" xfId="0" applyNumberFormat="1" applyFont="1" applyFill="1" applyBorder="1" applyAlignment="1" applyProtection="1">
      <alignment vertical="center" wrapText="1"/>
    </xf>
    <xf numFmtId="0" fontId="4" fillId="30" borderId="26" xfId="0" applyNumberFormat="1" applyFont="1" applyFill="1" applyBorder="1" applyAlignment="1" applyProtection="1">
      <alignment horizontal="left" vertical="center"/>
    </xf>
    <xf numFmtId="0" fontId="4" fillId="31" borderId="0" xfId="0" applyNumberFormat="1" applyFont="1" applyFill="1" applyBorder="1" applyAlignment="1" applyProtection="1">
      <alignment vertical="center"/>
    </xf>
    <xf numFmtId="0" fontId="4" fillId="31" borderId="13" xfId="0" applyNumberFormat="1" applyFont="1" applyFill="1" applyBorder="1" applyAlignment="1" applyProtection="1">
      <alignment vertical="center" wrapText="1"/>
    </xf>
    <xf numFmtId="0" fontId="4" fillId="24" borderId="22"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center" vertical="center"/>
    </xf>
    <xf numFmtId="0" fontId="4" fillId="0" borderId="33" xfId="0" applyNumberFormat="1" applyFont="1" applyFill="1" applyBorder="1" applyAlignment="1" applyProtection="1">
      <alignment horizontal="left" vertical="center"/>
    </xf>
    <xf numFmtId="0" fontId="4" fillId="0" borderId="34" xfId="0" applyNumberFormat="1" applyFont="1" applyFill="1" applyBorder="1" applyAlignment="1" applyProtection="1">
      <alignment horizontal="left" vertical="center"/>
    </xf>
    <xf numFmtId="0" fontId="4" fillId="0" borderId="35" xfId="0" applyNumberFormat="1" applyFont="1" applyFill="1" applyBorder="1" applyAlignment="1" applyProtection="1">
      <alignment vertical="center"/>
    </xf>
    <xf numFmtId="0" fontId="4" fillId="33" borderId="36" xfId="0" applyNumberFormat="1" applyFont="1" applyFill="1" applyBorder="1" applyAlignment="1" applyProtection="1">
      <alignment horizontal="left" vertical="center" wrapText="1"/>
    </xf>
    <xf numFmtId="0" fontId="4" fillId="0" borderId="37" xfId="0" applyNumberFormat="1" applyFont="1" applyFill="1" applyBorder="1" applyAlignment="1" applyProtection="1">
      <alignment horizontal="left" vertical="center" wrapText="1"/>
    </xf>
    <xf numFmtId="0" fontId="4" fillId="0" borderId="38" xfId="0" applyNumberFormat="1" applyFont="1" applyFill="1" applyBorder="1" applyAlignment="1" applyProtection="1">
      <alignment horizontal="left" vertical="center" wrapText="1"/>
    </xf>
    <xf numFmtId="0" fontId="4" fillId="0" borderId="39" xfId="0" applyNumberFormat="1" applyFont="1" applyFill="1" applyBorder="1" applyAlignment="1" applyProtection="1">
      <alignment horizontal="left" vertical="center" wrapText="1"/>
    </xf>
    <xf numFmtId="0" fontId="4" fillId="0" borderId="40" xfId="0" applyNumberFormat="1" applyFont="1" applyFill="1" applyBorder="1" applyAlignment="1" applyProtection="1">
      <alignment horizontal="left" vertical="center"/>
    </xf>
    <xf numFmtId="0" fontId="4" fillId="0" borderId="35" xfId="0" applyNumberFormat="1" applyFont="1" applyFill="1" applyBorder="1" applyAlignment="1" applyProtection="1">
      <alignment horizontal="left" vertical="center"/>
    </xf>
    <xf numFmtId="0" fontId="4" fillId="0" borderId="37" xfId="0" applyNumberFormat="1" applyFont="1" applyFill="1" applyBorder="1" applyAlignment="1" applyProtection="1">
      <alignment vertical="center"/>
    </xf>
    <xf numFmtId="0" fontId="4" fillId="0" borderId="38" xfId="0" applyNumberFormat="1" applyFont="1" applyFill="1" applyBorder="1" applyAlignment="1" applyProtection="1">
      <alignment vertical="center"/>
    </xf>
    <xf numFmtId="0" fontId="4" fillId="0" borderId="39" xfId="0" applyNumberFormat="1" applyFont="1" applyFill="1" applyBorder="1" applyAlignment="1" applyProtection="1">
      <alignment vertical="center"/>
    </xf>
    <xf numFmtId="0" fontId="4" fillId="31" borderId="13" xfId="0" applyNumberFormat="1" applyFont="1" applyFill="1" applyBorder="1" applyAlignment="1" applyProtection="1">
      <alignment vertical="center"/>
    </xf>
    <xf numFmtId="0" fontId="4" fillId="31" borderId="27" xfId="0" applyNumberFormat="1" applyFont="1" applyFill="1" applyBorder="1" applyAlignment="1" applyProtection="1">
      <alignment vertical="center" wrapText="1"/>
    </xf>
    <xf numFmtId="0" fontId="4" fillId="0" borderId="21" xfId="0" applyNumberFormat="1" applyFont="1" applyFill="1" applyBorder="1" applyAlignment="1" applyProtection="1">
      <alignment vertical="center" wrapText="1"/>
    </xf>
    <xf numFmtId="0" fontId="4" fillId="0" borderId="32" xfId="0" applyNumberFormat="1" applyFont="1" applyFill="1" applyBorder="1" applyAlignment="1" applyProtection="1">
      <alignment vertical="center" wrapText="1"/>
    </xf>
    <xf numFmtId="0" fontId="4" fillId="30" borderId="13" xfId="0" applyNumberFormat="1" applyFont="1" applyFill="1" applyBorder="1" applyAlignment="1" applyProtection="1">
      <alignment vertical="center" wrapText="1"/>
    </xf>
    <xf numFmtId="0" fontId="4" fillId="30" borderId="26" xfId="0" applyNumberFormat="1" applyFont="1" applyFill="1" applyBorder="1" applyAlignment="1" applyProtection="1">
      <alignment horizontal="left" vertical="center" wrapText="1"/>
    </xf>
    <xf numFmtId="0" fontId="4" fillId="27" borderId="14" xfId="0" applyNumberFormat="1" applyFont="1" applyFill="1" applyBorder="1" applyAlignment="1" applyProtection="1">
      <alignment horizontal="right" vertical="center" wrapText="1"/>
    </xf>
    <xf numFmtId="0" fontId="4" fillId="27" borderId="26" xfId="0" applyNumberFormat="1" applyFont="1" applyFill="1" applyBorder="1" applyAlignment="1" applyProtection="1">
      <alignment horizontal="left" vertical="center" wrapText="1"/>
    </xf>
    <xf numFmtId="0" fontId="4" fillId="30" borderId="27" xfId="0" applyNumberFormat="1" applyFont="1" applyFill="1" applyBorder="1" applyAlignment="1" applyProtection="1">
      <alignment horizontal="left" vertical="center" wrapText="1"/>
    </xf>
    <xf numFmtId="0" fontId="4" fillId="24" borderId="15" xfId="0" applyNumberFormat="1" applyFont="1" applyFill="1" applyBorder="1" applyAlignment="1" applyProtection="1">
      <alignment vertical="center" wrapText="1"/>
    </xf>
    <xf numFmtId="0" fontId="4" fillId="24" borderId="13" xfId="0" applyNumberFormat="1" applyFont="1" applyFill="1" applyBorder="1" applyAlignment="1" applyProtection="1">
      <alignment vertical="center" wrapText="1"/>
    </xf>
    <xf numFmtId="0" fontId="4" fillId="24" borderId="17" xfId="0" applyNumberFormat="1" applyFont="1" applyFill="1" applyBorder="1" applyAlignment="1" applyProtection="1">
      <alignment vertical="center" wrapText="1"/>
    </xf>
    <xf numFmtId="0" fontId="4" fillId="24" borderId="27" xfId="0" applyNumberFormat="1" applyFont="1" applyFill="1" applyBorder="1" applyAlignment="1" applyProtection="1">
      <alignment vertical="center" wrapText="1"/>
    </xf>
    <xf numFmtId="0" fontId="4" fillId="24" borderId="15" xfId="0" applyNumberFormat="1" applyFont="1" applyFill="1" applyBorder="1" applyAlignment="1" applyProtection="1">
      <alignment vertical="center" shrinkToFit="1"/>
    </xf>
    <xf numFmtId="0" fontId="4" fillId="24" borderId="17" xfId="0" applyNumberFormat="1" applyFont="1" applyFill="1" applyBorder="1" applyAlignment="1" applyProtection="1">
      <alignment vertical="center" shrinkToFit="1"/>
    </xf>
    <xf numFmtId="0" fontId="4" fillId="24" borderId="18" xfId="0" applyNumberFormat="1" applyFont="1" applyFill="1" applyBorder="1" applyAlignment="1" applyProtection="1">
      <alignment vertical="center" shrinkToFit="1"/>
    </xf>
    <xf numFmtId="49" fontId="4" fillId="24" borderId="25" xfId="0" applyNumberFormat="1" applyFont="1" applyFill="1" applyBorder="1" applyAlignment="1" applyProtection="1">
      <alignment vertical="center"/>
    </xf>
    <xf numFmtId="0" fontId="4" fillId="30" borderId="18" xfId="0" applyNumberFormat="1" applyFont="1" applyFill="1" applyBorder="1" applyAlignment="1" applyProtection="1">
      <alignment vertical="center" wrapText="1"/>
    </xf>
    <xf numFmtId="49" fontId="4" fillId="30" borderId="18" xfId="0" applyNumberFormat="1" applyFont="1" applyFill="1" applyBorder="1" applyAlignment="1" applyProtection="1">
      <alignment vertical="center" wrapText="1"/>
    </xf>
    <xf numFmtId="0" fontId="4" fillId="24" borderId="18" xfId="0" applyNumberFormat="1" applyFont="1" applyFill="1" applyBorder="1" applyAlignment="1" applyProtection="1">
      <alignment vertical="center" wrapText="1"/>
    </xf>
    <xf numFmtId="0" fontId="4" fillId="30" borderId="20" xfId="0" applyNumberFormat="1" applyFont="1" applyFill="1" applyBorder="1" applyAlignment="1" applyProtection="1">
      <alignment vertical="center" wrapText="1"/>
    </xf>
    <xf numFmtId="0" fontId="4" fillId="30" borderId="0" xfId="0" applyNumberFormat="1" applyFont="1" applyFill="1" applyBorder="1" applyAlignment="1" applyProtection="1">
      <alignment horizontal="left" vertical="center"/>
    </xf>
    <xf numFmtId="0" fontId="4" fillId="30" borderId="15" xfId="0" applyNumberFormat="1" applyFont="1" applyFill="1" applyBorder="1" applyAlignment="1" applyProtection="1">
      <alignment vertical="center"/>
    </xf>
    <xf numFmtId="0" fontId="18" fillId="0" borderId="0" xfId="0" applyNumberFormat="1" applyFont="1" applyFill="1" applyBorder="1" applyAlignment="1" applyProtection="1">
      <alignment vertical="center"/>
    </xf>
    <xf numFmtId="49" fontId="4" fillId="33" borderId="10" xfId="0" applyNumberFormat="1" applyFont="1" applyFill="1" applyBorder="1" applyAlignment="1" applyProtection="1">
      <alignment horizontal="left" vertical="center"/>
    </xf>
    <xf numFmtId="0" fontId="4" fillId="33" borderId="14" xfId="0" applyNumberFormat="1" applyFont="1" applyFill="1" applyBorder="1" applyAlignment="1" applyProtection="1">
      <alignment vertical="center"/>
    </xf>
    <xf numFmtId="49" fontId="4" fillId="33" borderId="12" xfId="0" applyNumberFormat="1" applyFont="1" applyFill="1" applyBorder="1" applyAlignment="1" applyProtection="1">
      <alignment horizontal="left" vertical="center"/>
    </xf>
    <xf numFmtId="49" fontId="4" fillId="33" borderId="13" xfId="0" applyNumberFormat="1" applyFont="1" applyFill="1" applyBorder="1" applyAlignment="1" applyProtection="1">
      <alignment horizontal="left" vertical="center"/>
    </xf>
    <xf numFmtId="0" fontId="4" fillId="33" borderId="26" xfId="0" applyNumberFormat="1" applyFont="1" applyFill="1" applyBorder="1" applyAlignment="1" applyProtection="1">
      <alignment vertical="center"/>
    </xf>
    <xf numFmtId="0" fontId="4" fillId="33" borderId="27" xfId="0" applyNumberFormat="1" applyFont="1" applyFill="1" applyBorder="1" applyAlignment="1" applyProtection="1">
      <alignment vertical="center"/>
    </xf>
    <xf numFmtId="0" fontId="4" fillId="34" borderId="23" xfId="0" applyNumberFormat="1" applyFont="1" applyFill="1" applyBorder="1" applyAlignment="1" applyProtection="1">
      <alignment vertical="center"/>
    </xf>
    <xf numFmtId="0" fontId="4" fillId="34" borderId="24" xfId="0" applyNumberFormat="1" applyFont="1" applyFill="1" applyBorder="1" applyAlignment="1" applyProtection="1">
      <alignment vertical="center"/>
    </xf>
    <xf numFmtId="49" fontId="4" fillId="33" borderId="16" xfId="0" applyNumberFormat="1" applyFont="1" applyFill="1" applyBorder="1" applyAlignment="1" applyProtection="1">
      <alignment vertical="center" wrapText="1"/>
    </xf>
    <xf numFmtId="49" fontId="4" fillId="33" borderId="17" xfId="0" applyNumberFormat="1" applyFont="1" applyFill="1" applyBorder="1" applyAlignment="1" applyProtection="1">
      <alignment vertical="center" wrapText="1"/>
    </xf>
    <xf numFmtId="49" fontId="4" fillId="33" borderId="25" xfId="0" applyNumberFormat="1" applyFont="1" applyFill="1" applyBorder="1" applyAlignment="1" applyProtection="1">
      <alignment vertical="center" wrapText="1"/>
    </xf>
    <xf numFmtId="49" fontId="4" fillId="33" borderId="41" xfId="0" applyNumberFormat="1" applyFont="1" applyFill="1" applyBorder="1" applyAlignment="1" applyProtection="1">
      <alignment vertical="center" wrapText="1"/>
    </xf>
    <xf numFmtId="0" fontId="4" fillId="33" borderId="16" xfId="0" applyNumberFormat="1" applyFont="1" applyFill="1" applyBorder="1" applyAlignment="1" applyProtection="1">
      <alignment vertical="center" wrapText="1"/>
    </xf>
    <xf numFmtId="0" fontId="4" fillId="33" borderId="17" xfId="0" applyNumberFormat="1" applyFont="1" applyFill="1" applyBorder="1" applyAlignment="1" applyProtection="1">
      <alignment vertical="center" wrapText="1"/>
    </xf>
    <xf numFmtId="0" fontId="4" fillId="33" borderId="25" xfId="0" applyNumberFormat="1" applyFont="1" applyFill="1" applyBorder="1" applyAlignment="1" applyProtection="1">
      <alignment vertical="center" wrapText="1"/>
    </xf>
    <xf numFmtId="0" fontId="4" fillId="33" borderId="41" xfId="0" applyNumberFormat="1" applyFont="1" applyFill="1" applyBorder="1" applyAlignment="1" applyProtection="1">
      <alignment vertical="center" wrapText="1"/>
    </xf>
    <xf numFmtId="49" fontId="4" fillId="33" borderId="12" xfId="0" applyNumberFormat="1" applyFont="1" applyFill="1" applyBorder="1" applyAlignment="1" applyProtection="1">
      <alignment vertical="center"/>
    </xf>
    <xf numFmtId="49" fontId="4" fillId="33" borderId="15" xfId="0" applyNumberFormat="1" applyFont="1" applyFill="1" applyBorder="1" applyAlignment="1" applyProtection="1">
      <alignment vertical="center" wrapText="1"/>
    </xf>
    <xf numFmtId="0" fontId="4" fillId="33" borderId="12" xfId="0" applyNumberFormat="1" applyFont="1" applyFill="1" applyBorder="1" applyAlignment="1" applyProtection="1">
      <alignment vertical="center" wrapText="1"/>
    </xf>
    <xf numFmtId="0" fontId="4" fillId="33" borderId="26" xfId="0" applyNumberFormat="1" applyFont="1" applyFill="1" applyBorder="1" applyAlignment="1" applyProtection="1">
      <alignment horizontal="left" vertical="center" wrapText="1"/>
    </xf>
    <xf numFmtId="0" fontId="4" fillId="33" borderId="13" xfId="0" applyNumberFormat="1" applyFont="1" applyFill="1" applyBorder="1" applyAlignment="1" applyProtection="1">
      <alignment vertical="center" wrapText="1"/>
    </xf>
    <xf numFmtId="0" fontId="4" fillId="33" borderId="27" xfId="0" applyNumberFormat="1" applyFont="1" applyFill="1" applyBorder="1" applyAlignment="1" applyProtection="1">
      <alignment horizontal="right" vertical="center" wrapText="1"/>
    </xf>
    <xf numFmtId="0" fontId="4" fillId="30" borderId="13" xfId="0" applyNumberFormat="1" applyFont="1" applyFill="1" applyBorder="1" applyAlignment="1" applyProtection="1">
      <alignment vertical="center"/>
    </xf>
    <xf numFmtId="0" fontId="4" fillId="30" borderId="22" xfId="0" applyNumberFormat="1" applyFont="1" applyFill="1" applyBorder="1" applyAlignment="1" applyProtection="1">
      <alignment vertical="center"/>
    </xf>
    <xf numFmtId="0" fontId="4" fillId="30" borderId="21" xfId="0" applyNumberFormat="1" applyFont="1" applyFill="1" applyBorder="1" applyAlignment="1" applyProtection="1">
      <alignment vertical="center"/>
    </xf>
    <xf numFmtId="0" fontId="4" fillId="30" borderId="16" xfId="0" applyNumberFormat="1" applyFont="1" applyFill="1" applyBorder="1" applyAlignment="1" applyProtection="1">
      <alignment vertical="center"/>
    </xf>
    <xf numFmtId="0" fontId="4" fillId="30" borderId="17" xfId="0" applyNumberFormat="1" applyFont="1" applyFill="1" applyBorder="1" applyAlignment="1" applyProtection="1">
      <alignment vertical="center"/>
    </xf>
    <xf numFmtId="0" fontId="4" fillId="30" borderId="25" xfId="0" applyNumberFormat="1" applyFont="1" applyFill="1" applyBorder="1" applyAlignment="1" applyProtection="1">
      <alignment vertical="center"/>
    </xf>
    <xf numFmtId="49" fontId="4" fillId="30" borderId="10" xfId="0" applyNumberFormat="1" applyFont="1" applyFill="1" applyBorder="1" applyAlignment="1" applyProtection="1">
      <alignment horizontal="left" vertical="center"/>
    </xf>
    <xf numFmtId="0" fontId="4" fillId="30" borderId="13" xfId="0" applyNumberFormat="1" applyFont="1" applyFill="1" applyBorder="1" applyAlignment="1" applyProtection="1">
      <alignment horizontal="left" vertical="center"/>
    </xf>
    <xf numFmtId="0" fontId="4" fillId="30" borderId="14" xfId="0" applyNumberFormat="1" applyFont="1" applyFill="1" applyBorder="1" applyAlignment="1" applyProtection="1">
      <alignment horizontal="left" vertical="center"/>
    </xf>
    <xf numFmtId="0" fontId="4" fillId="30" borderId="27" xfId="0" applyNumberFormat="1" applyFont="1" applyFill="1" applyBorder="1" applyAlignment="1" applyProtection="1">
      <alignment vertical="center"/>
    </xf>
    <xf numFmtId="49" fontId="4" fillId="30" borderId="23" xfId="0" applyNumberFormat="1" applyFont="1" applyFill="1" applyBorder="1" applyAlignment="1" applyProtection="1">
      <alignment vertical="center"/>
    </xf>
    <xf numFmtId="0" fontId="4" fillId="33" borderId="18" xfId="0" applyNumberFormat="1" applyFont="1" applyFill="1" applyBorder="1" applyAlignment="1" applyProtection="1">
      <alignment vertical="center"/>
    </xf>
    <xf numFmtId="0" fontId="4" fillId="0" borderId="42" xfId="0" applyNumberFormat="1" applyFont="1" applyFill="1" applyBorder="1" applyAlignment="1" applyProtection="1">
      <alignment vertical="center"/>
    </xf>
    <xf numFmtId="0" fontId="4" fillId="0" borderId="43" xfId="0" applyNumberFormat="1" applyFont="1" applyFill="1" applyBorder="1" applyAlignment="1" applyProtection="1">
      <alignment vertical="center"/>
    </xf>
    <xf numFmtId="0" fontId="4" fillId="0" borderId="44" xfId="0" applyNumberFormat="1" applyFont="1" applyFill="1" applyBorder="1" applyAlignment="1" applyProtection="1">
      <alignment vertical="center"/>
    </xf>
    <xf numFmtId="0" fontId="4" fillId="0" borderId="36"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vertical="center"/>
    </xf>
    <xf numFmtId="0" fontId="4" fillId="0" borderId="13" xfId="0" applyNumberFormat="1" applyFont="1" applyFill="1" applyBorder="1" applyAlignment="1" applyProtection="1">
      <alignment vertical="center"/>
    </xf>
    <xf numFmtId="0" fontId="4" fillId="30" borderId="27" xfId="0" applyNumberFormat="1" applyFont="1" applyFill="1" applyBorder="1" applyAlignment="1" applyProtection="1">
      <alignment vertical="center"/>
    </xf>
    <xf numFmtId="182" fontId="4" fillId="0" borderId="0" xfId="0" applyNumberFormat="1" applyFont="1" applyFill="1" applyBorder="1" applyAlignment="1" applyProtection="1">
      <alignment vertical="center"/>
    </xf>
    <xf numFmtId="0" fontId="4" fillId="30" borderId="45" xfId="0" applyNumberFormat="1" applyFont="1" applyFill="1" applyBorder="1" applyAlignment="1" applyProtection="1">
      <alignment vertical="center"/>
    </xf>
    <xf numFmtId="49" fontId="4" fillId="30" borderId="16" xfId="0" applyNumberFormat="1" applyFont="1" applyFill="1" applyBorder="1" applyAlignment="1" applyProtection="1">
      <alignment vertical="center"/>
    </xf>
    <xf numFmtId="49" fontId="4" fillId="30" borderId="12" xfId="0" applyNumberFormat="1" applyFont="1" applyFill="1" applyBorder="1" applyAlignment="1" applyProtection="1">
      <alignment vertical="center"/>
    </xf>
    <xf numFmtId="49" fontId="4" fillId="30" borderId="25" xfId="0" applyNumberFormat="1" applyFont="1" applyFill="1" applyBorder="1" applyAlignment="1" applyProtection="1">
      <alignment vertical="center"/>
    </xf>
    <xf numFmtId="49" fontId="4" fillId="30" borderId="13" xfId="0" applyNumberFormat="1" applyFont="1" applyFill="1" applyBorder="1" applyAlignment="1" applyProtection="1">
      <alignment vertical="center"/>
    </xf>
    <xf numFmtId="0" fontId="6" fillId="30" borderId="0" xfId="0" applyNumberFormat="1" applyFont="1" applyFill="1" applyBorder="1" applyAlignment="1" applyProtection="1">
      <alignment vertical="center"/>
    </xf>
    <xf numFmtId="49" fontId="4" fillId="24" borderId="13" xfId="0" applyNumberFormat="1" applyFont="1" applyFill="1" applyBorder="1" applyAlignment="1" applyProtection="1">
      <alignment vertical="center" shrinkToFit="1"/>
    </xf>
    <xf numFmtId="183" fontId="4" fillId="0" borderId="0" xfId="0" applyNumberFormat="1" applyFont="1" applyFill="1" applyBorder="1" applyAlignment="1" applyProtection="1">
      <alignment horizontal="center" vertical="center"/>
    </xf>
    <xf numFmtId="0" fontId="4" fillId="31" borderId="18" xfId="0" applyNumberFormat="1" applyFont="1" applyFill="1" applyBorder="1" applyAlignment="1" applyProtection="1">
      <alignment vertical="center" wrapText="1"/>
    </xf>
    <xf numFmtId="178" fontId="4" fillId="0" borderId="0" xfId="0" applyNumberFormat="1" applyFont="1" applyFill="1" applyBorder="1" applyAlignment="1" applyProtection="1">
      <alignment horizontal="left" vertical="center"/>
    </xf>
    <xf numFmtId="49" fontId="4" fillId="31" borderId="12" xfId="0" applyNumberFormat="1" applyFont="1" applyFill="1" applyBorder="1" applyAlignment="1" applyProtection="1">
      <alignment vertical="center"/>
    </xf>
    <xf numFmtId="49" fontId="4" fillId="31" borderId="12" xfId="0" applyNumberFormat="1" applyFont="1" applyFill="1" applyBorder="1" applyAlignment="1" applyProtection="1">
      <alignment vertical="center" wrapText="1"/>
    </xf>
    <xf numFmtId="0" fontId="4" fillId="0" borderId="0"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0" fontId="4" fillId="24" borderId="22" xfId="0" applyNumberFormat="1" applyFont="1" applyFill="1" applyBorder="1" applyAlignment="1" applyProtection="1">
      <alignment vertical="center" shrinkToFit="1"/>
    </xf>
    <xf numFmtId="49" fontId="4" fillId="30" borderId="17" xfId="0" applyNumberFormat="1" applyFont="1" applyFill="1" applyBorder="1" applyAlignment="1" applyProtection="1">
      <alignment horizontal="left" vertical="center"/>
    </xf>
    <xf numFmtId="0" fontId="35" fillId="30" borderId="13" xfId="0" applyNumberFormat="1" applyFont="1" applyFill="1" applyBorder="1" applyAlignment="1" applyProtection="1">
      <alignment vertical="center"/>
    </xf>
    <xf numFmtId="0" fontId="4" fillId="34" borderId="12" xfId="0" applyNumberFormat="1" applyFont="1" applyFill="1" applyBorder="1" applyAlignment="1" applyProtection="1">
      <alignment vertical="center" wrapText="1"/>
    </xf>
    <xf numFmtId="0" fontId="4" fillId="34" borderId="15" xfId="0" applyNumberFormat="1" applyFont="1" applyFill="1" applyBorder="1" applyAlignment="1" applyProtection="1">
      <alignment vertical="center" wrapText="1"/>
    </xf>
    <xf numFmtId="0" fontId="4" fillId="0" borderId="12" xfId="0" applyNumberFormat="1" applyFont="1" applyFill="1" applyBorder="1" applyAlignment="1" applyProtection="1">
      <alignment vertical="center" wrapText="1"/>
    </xf>
    <xf numFmtId="0" fontId="4" fillId="0" borderId="15"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left" vertical="center"/>
    </xf>
    <xf numFmtId="0" fontId="4" fillId="30" borderId="12" xfId="0" applyNumberFormat="1" applyFont="1" applyFill="1" applyBorder="1" applyAlignment="1" applyProtection="1">
      <alignment vertical="center" wrapText="1"/>
    </xf>
    <xf numFmtId="0" fontId="4" fillId="30" borderId="15" xfId="0" applyNumberFormat="1" applyFont="1" applyFill="1" applyBorder="1" applyAlignment="1" applyProtection="1">
      <alignment horizontal="left" vertical="center" wrapText="1"/>
    </xf>
    <xf numFmtId="176" fontId="0" fillId="0" borderId="0" xfId="0" applyNumberFormat="1" applyFont="1" applyFill="1" applyBorder="1" applyAlignment="1" applyProtection="1">
      <alignment horizontal="left" vertical="center"/>
    </xf>
    <xf numFmtId="0" fontId="4" fillId="24" borderId="12" xfId="0" applyNumberFormat="1" applyFont="1" applyFill="1" applyBorder="1" applyAlignment="1" applyProtection="1">
      <alignment vertical="center" wrapText="1"/>
    </xf>
    <xf numFmtId="0" fontId="4" fillId="33" borderId="46" xfId="0" applyNumberFormat="1" applyFont="1" applyFill="1" applyBorder="1" applyAlignment="1" applyProtection="1">
      <alignment vertical="center" wrapText="1"/>
    </xf>
    <xf numFmtId="0" fontId="4" fillId="33" borderId="11" xfId="0" applyNumberFormat="1" applyFont="1" applyFill="1" applyBorder="1" applyAlignment="1" applyProtection="1">
      <alignment vertical="center" wrapText="1"/>
    </xf>
    <xf numFmtId="0" fontId="4" fillId="30" borderId="12" xfId="0" applyNumberFormat="1" applyFont="1" applyFill="1" applyBorder="1" applyAlignment="1" applyProtection="1">
      <alignment vertical="center"/>
    </xf>
    <xf numFmtId="0" fontId="4" fillId="30" borderId="11" xfId="0" applyNumberFormat="1" applyFont="1" applyFill="1" applyBorder="1" applyAlignment="1" applyProtection="1">
      <alignment vertical="center"/>
    </xf>
    <xf numFmtId="0" fontId="4" fillId="30" borderId="46" xfId="0" applyNumberFormat="1" applyFont="1" applyFill="1" applyBorder="1" applyAlignment="1" applyProtection="1">
      <alignment vertical="center" wrapText="1"/>
    </xf>
    <xf numFmtId="49" fontId="4" fillId="33" borderId="12" xfId="0" applyNumberFormat="1" applyFont="1" applyFill="1" applyBorder="1" applyAlignment="1" applyProtection="1">
      <alignment vertical="center"/>
    </xf>
    <xf numFmtId="0" fontId="4" fillId="33" borderId="11" xfId="0" applyNumberFormat="1" applyFont="1" applyFill="1" applyBorder="1" applyAlignment="1" applyProtection="1">
      <alignment vertical="center"/>
    </xf>
    <xf numFmtId="0" fontId="4" fillId="33" borderId="32" xfId="0" applyNumberFormat="1" applyFont="1" applyFill="1" applyBorder="1" applyAlignment="1" applyProtection="1">
      <alignment vertical="center" wrapText="1"/>
    </xf>
    <xf numFmtId="0" fontId="4" fillId="30" borderId="47" xfId="0" applyNumberFormat="1" applyFont="1" applyFill="1" applyBorder="1" applyAlignment="1" applyProtection="1">
      <alignment horizontal="left" vertical="center" wrapText="1"/>
    </xf>
    <xf numFmtId="0" fontId="4" fillId="33" borderId="12" xfId="0" applyNumberFormat="1" applyFont="1" applyFill="1" applyBorder="1" applyAlignment="1" applyProtection="1">
      <alignment vertical="center"/>
    </xf>
    <xf numFmtId="0" fontId="4" fillId="33" borderId="15" xfId="0" applyNumberFormat="1" applyFont="1" applyFill="1" applyBorder="1" applyAlignment="1" applyProtection="1">
      <alignment vertical="center" wrapText="1"/>
    </xf>
    <xf numFmtId="49" fontId="4" fillId="30" borderId="12" xfId="0" applyNumberFormat="1" applyFont="1" applyFill="1" applyBorder="1" applyAlignment="1" applyProtection="1">
      <alignment horizontal="left" vertical="center"/>
    </xf>
    <xf numFmtId="0" fontId="4" fillId="33" borderId="12" xfId="0" applyNumberFormat="1" applyFont="1" applyFill="1" applyBorder="1" applyAlignment="1" applyProtection="1">
      <alignment vertical="center" wrapText="1"/>
    </xf>
    <xf numFmtId="0" fontId="4" fillId="33" borderId="18" xfId="0" applyNumberFormat="1" applyFont="1" applyFill="1" applyBorder="1" applyAlignment="1" applyProtection="1">
      <alignment horizontal="left" vertical="center" wrapText="1"/>
    </xf>
    <xf numFmtId="180" fontId="4" fillId="30" borderId="0" xfId="0" applyNumberFormat="1" applyFont="1" applyFill="1" applyBorder="1" applyAlignment="1" applyProtection="1">
      <alignment horizontal="left" vertical="center"/>
    </xf>
    <xf numFmtId="49" fontId="4" fillId="30" borderId="0" xfId="0" applyNumberFormat="1" applyFont="1" applyFill="1" applyBorder="1" applyAlignment="1" applyProtection="1">
      <alignment horizontal="left" vertical="center"/>
    </xf>
    <xf numFmtId="49" fontId="4" fillId="30" borderId="0" xfId="0" applyNumberFormat="1" applyFont="1" applyFill="1" applyBorder="1" applyAlignment="1" applyProtection="1">
      <alignment vertical="center"/>
    </xf>
    <xf numFmtId="176" fontId="4" fillId="30" borderId="0" xfId="0" applyNumberFormat="1" applyFont="1" applyFill="1" applyBorder="1" applyAlignment="1" applyProtection="1">
      <alignment horizontal="left" vertical="center"/>
    </xf>
    <xf numFmtId="0" fontId="4" fillId="33" borderId="0" xfId="0" applyNumberFormat="1" applyFont="1" applyFill="1" applyBorder="1" applyAlignment="1" applyProtection="1">
      <alignment horizontal="left" vertical="center"/>
    </xf>
    <xf numFmtId="0" fontId="0" fillId="33" borderId="0" xfId="0" applyNumberFormat="1" applyFont="1" applyFill="1" applyBorder="1" applyAlignment="1" applyProtection="1">
      <alignment horizontal="left" vertical="center"/>
    </xf>
    <xf numFmtId="180" fontId="4" fillId="33" borderId="0" xfId="0" applyNumberFormat="1" applyFont="1" applyFill="1" applyBorder="1" applyAlignment="1" applyProtection="1">
      <alignment horizontal="left" vertical="center"/>
    </xf>
    <xf numFmtId="0" fontId="4" fillId="31" borderId="0" xfId="0" applyNumberFormat="1" applyFont="1" applyFill="1" applyBorder="1" applyAlignment="1" applyProtection="1">
      <alignment horizontal="left" vertical="center"/>
    </xf>
    <xf numFmtId="0" fontId="4" fillId="30" borderId="0" xfId="0" applyNumberFormat="1" applyFont="1" applyFill="1" applyBorder="1" applyAlignment="1" applyProtection="1">
      <alignment horizontal="left" vertical="center" wrapText="1"/>
    </xf>
    <xf numFmtId="49" fontId="4" fillId="31" borderId="0" xfId="0" applyNumberFormat="1" applyFont="1" applyFill="1" applyBorder="1" applyAlignment="1" applyProtection="1">
      <alignment horizontal="left" vertical="center"/>
    </xf>
    <xf numFmtId="49" fontId="4" fillId="30" borderId="0" xfId="1" applyNumberFormat="1" applyFont="1" applyFill="1" applyBorder="1" applyAlignment="1" applyProtection="1">
      <alignment vertical="center"/>
      <protection locked="0"/>
    </xf>
    <xf numFmtId="49" fontId="12" fillId="30" borderId="0" xfId="1" applyNumberFormat="1" applyFont="1" applyFill="1" applyBorder="1" applyAlignment="1" applyProtection="1">
      <alignment vertical="center"/>
      <protection locked="0"/>
    </xf>
    <xf numFmtId="0" fontId="35" fillId="30" borderId="0" xfId="0" applyNumberFormat="1" applyFont="1" applyFill="1" applyBorder="1" applyAlignment="1" applyProtection="1">
      <alignment vertical="center"/>
    </xf>
    <xf numFmtId="0" fontId="4" fillId="30" borderId="0" xfId="1" applyNumberFormat="1" applyFont="1" applyFill="1" applyBorder="1" applyAlignment="1" applyProtection="1">
      <alignment vertical="center"/>
      <protection locked="0"/>
    </xf>
    <xf numFmtId="49" fontId="4" fillId="30" borderId="0" xfId="0" applyNumberFormat="1" applyFont="1" applyFill="1" applyBorder="1" applyAlignment="1" applyProtection="1">
      <alignment horizontal="left" vertical="top"/>
    </xf>
    <xf numFmtId="0" fontId="4" fillId="30" borderId="0" xfId="0" applyNumberFormat="1" applyFont="1" applyFill="1" applyBorder="1" applyAlignment="1" applyProtection="1">
      <alignment horizontal="left" vertical="top"/>
    </xf>
    <xf numFmtId="178" fontId="4" fillId="31" borderId="0" xfId="0" applyNumberFormat="1" applyFont="1" applyFill="1" applyBorder="1" applyAlignment="1" applyProtection="1">
      <alignment horizontal="left" vertical="center"/>
    </xf>
    <xf numFmtId="179" fontId="4" fillId="31" borderId="0" xfId="0" applyNumberFormat="1" applyFont="1" applyFill="1" applyBorder="1" applyAlignment="1" applyProtection="1">
      <alignment horizontal="left" vertical="center"/>
    </xf>
    <xf numFmtId="178" fontId="4" fillId="30" borderId="0" xfId="0" applyNumberFormat="1" applyFont="1" applyFill="1" applyBorder="1" applyAlignment="1" applyProtection="1">
      <alignment horizontal="left" vertical="center"/>
    </xf>
    <xf numFmtId="177" fontId="4" fillId="30" borderId="0" xfId="0" applyNumberFormat="1" applyFont="1" applyFill="1" applyBorder="1" applyAlignment="1" applyProtection="1">
      <alignment horizontal="left" vertical="center"/>
    </xf>
    <xf numFmtId="181" fontId="4" fillId="30" borderId="0" xfId="0" applyNumberFormat="1" applyFont="1" applyFill="1" applyBorder="1" applyAlignment="1" applyProtection="1">
      <alignment horizontal="left" vertical="center"/>
    </xf>
    <xf numFmtId="184" fontId="4" fillId="30" borderId="0" xfId="0" applyNumberFormat="1" applyFont="1" applyFill="1" applyBorder="1" applyAlignment="1" applyProtection="1">
      <alignment horizontal="left" vertical="center"/>
    </xf>
    <xf numFmtId="182" fontId="4" fillId="30" borderId="0" xfId="0" applyNumberFormat="1" applyFont="1" applyFill="1" applyBorder="1" applyAlignment="1" applyProtection="1">
      <alignment vertical="center"/>
    </xf>
    <xf numFmtId="177" fontId="4" fillId="30" borderId="0" xfId="0" applyNumberFormat="1" applyFont="1" applyFill="1" applyBorder="1" applyAlignment="1" applyProtection="1">
      <alignment vertical="center"/>
    </xf>
    <xf numFmtId="184" fontId="4" fillId="30" borderId="0" xfId="0" applyNumberFormat="1" applyFont="1" applyFill="1" applyBorder="1" applyAlignment="1" applyProtection="1">
      <alignment vertical="center"/>
    </xf>
    <xf numFmtId="184" fontId="4" fillId="35" borderId="0" xfId="0" applyNumberFormat="1" applyFont="1" applyFill="1" applyBorder="1" applyAlignment="1" applyProtection="1">
      <alignment horizontal="left" vertical="center"/>
    </xf>
    <xf numFmtId="49" fontId="4" fillId="24" borderId="12" xfId="0" applyNumberFormat="1" applyFont="1" applyFill="1" applyBorder="1" applyAlignment="1" applyProtection="1">
      <alignment vertical="center" shrinkToFit="1"/>
    </xf>
    <xf numFmtId="0" fontId="4" fillId="24" borderId="27" xfId="0" applyNumberFormat="1" applyFont="1" applyFill="1" applyBorder="1" applyAlignment="1" applyProtection="1">
      <alignment vertical="center" shrinkToFit="1"/>
    </xf>
    <xf numFmtId="0" fontId="4" fillId="24" borderId="48" xfId="0" applyNumberFormat="1" applyFont="1" applyFill="1" applyBorder="1" applyAlignment="1" applyProtection="1">
      <alignment vertical="center" shrinkToFit="1"/>
    </xf>
    <xf numFmtId="0" fontId="9" fillId="0" borderId="11"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left" vertical="center" wrapText="1"/>
    </xf>
    <xf numFmtId="0" fontId="12" fillId="0" borderId="49" xfId="0" applyNumberFormat="1" applyFont="1" applyFill="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27" borderId="0" xfId="0" applyNumberFormat="1" applyFont="1" applyFill="1" applyBorder="1" applyAlignment="1" applyProtection="1">
      <alignment horizontal="right" vertical="center"/>
      <protection locked="0" hidden="1"/>
    </xf>
    <xf numFmtId="0" fontId="12" fillId="27" borderId="49" xfId="0" applyNumberFormat="1" applyFont="1" applyFill="1" applyBorder="1" applyAlignment="1" applyProtection="1">
      <alignment horizontal="right" vertical="center"/>
      <protection locked="0" hidden="1"/>
    </xf>
    <xf numFmtId="0" fontId="12" fillId="0" borderId="50" xfId="0" applyNumberFormat="1" applyFont="1" applyFill="1" applyBorder="1" applyAlignment="1" applyProtection="1">
      <alignment vertical="center"/>
    </xf>
    <xf numFmtId="0" fontId="12" fillId="27" borderId="50" xfId="0" applyNumberFormat="1" applyFont="1" applyFill="1" applyBorder="1" applyAlignment="1" applyProtection="1">
      <alignment horizontal="right" vertical="center"/>
      <protection locked="0" hidden="1"/>
    </xf>
    <xf numFmtId="0" fontId="12" fillId="0" borderId="49"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vertical="center"/>
    </xf>
    <xf numFmtId="0" fontId="14" fillId="36" borderId="0"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right" vertical="center"/>
    </xf>
    <xf numFmtId="0" fontId="9" fillId="0" borderId="51" xfId="0" applyNumberFormat="1" applyFont="1" applyFill="1" applyBorder="1" applyAlignment="1" applyProtection="1">
      <alignment vertical="center"/>
    </xf>
    <xf numFmtId="0" fontId="9" fillId="0" borderId="11"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vertical="center" wrapText="1"/>
    </xf>
    <xf numFmtId="0" fontId="9" fillId="0" borderId="11" xfId="0" applyNumberFormat="1" applyFont="1" applyFill="1" applyBorder="1" applyAlignment="1" applyProtection="1">
      <alignment vertical="center"/>
    </xf>
    <xf numFmtId="0" fontId="16" fillId="0" borderId="0" xfId="0" applyNumberFormat="1" applyFont="1" applyFill="1" applyBorder="1" applyAlignment="1" applyProtection="1">
      <alignment vertical="top"/>
    </xf>
    <xf numFmtId="0" fontId="14" fillId="0" borderId="21" xfId="0" applyNumberFormat="1" applyFont="1" applyFill="1" applyBorder="1" applyAlignment="1" applyProtection="1">
      <alignment horizontal="center" vertical="center"/>
    </xf>
    <xf numFmtId="0" fontId="14" fillId="0" borderId="12" xfId="0" applyNumberFormat="1" applyFont="1" applyFill="1" applyBorder="1" applyAlignment="1" applyProtection="1">
      <alignment horizontal="center" vertical="center"/>
    </xf>
    <xf numFmtId="0" fontId="14" fillId="0" borderId="13" xfId="0" applyNumberFormat="1" applyFont="1" applyFill="1" applyBorder="1" applyAlignment="1" applyProtection="1">
      <alignment horizontal="center" vertical="center"/>
    </xf>
    <xf numFmtId="0" fontId="14" fillId="0" borderId="11" xfId="0" applyNumberFormat="1" applyFont="1" applyFill="1" applyBorder="1" applyAlignment="1" applyProtection="1">
      <alignment horizontal="center" vertical="center" wrapText="1"/>
    </xf>
    <xf numFmtId="0" fontId="14" fillId="0" borderId="0" xfId="120" applyNumberFormat="1" applyFont="1" applyFill="1" applyBorder="1" applyAlignment="1" applyProtection="1">
      <alignment vertical="center"/>
    </xf>
    <xf numFmtId="0" fontId="16" fillId="0" borderId="0" xfId="120" applyNumberFormat="1" applyFont="1" applyFill="1" applyBorder="1" applyAlignment="1" applyProtection="1">
      <alignment vertical="top"/>
    </xf>
    <xf numFmtId="0" fontId="14" fillId="0" borderId="0" xfId="120" applyNumberFormat="1" applyFont="1" applyFill="1" applyBorder="1" applyAlignment="1" applyProtection="1">
      <alignment vertical="center" shrinkToFit="1"/>
    </xf>
    <xf numFmtId="0" fontId="6" fillId="0" borderId="0" xfId="121" applyNumberFormat="1" applyFont="1" applyFill="1" applyBorder="1" applyAlignment="1" applyProtection="1">
      <alignment vertical="center"/>
    </xf>
    <xf numFmtId="0" fontId="14" fillId="0" borderId="0" xfId="121" applyNumberFormat="1" applyFont="1" applyFill="1" applyBorder="1" applyAlignment="1" applyProtection="1">
      <alignment horizontal="right" vertical="center"/>
    </xf>
    <xf numFmtId="0" fontId="14" fillId="0" borderId="0" xfId="121" applyNumberFormat="1" applyFont="1" applyFill="1" applyBorder="1" applyAlignment="1" applyProtection="1">
      <alignment vertical="center"/>
    </xf>
    <xf numFmtId="0" fontId="14" fillId="0" borderId="0" xfId="121" applyNumberFormat="1" applyFont="1" applyFill="1" applyBorder="1" applyAlignment="1" applyProtection="1">
      <alignment vertical="center" shrinkToFit="1"/>
    </xf>
    <xf numFmtId="0" fontId="14" fillId="0" borderId="0" xfId="121" applyNumberFormat="1" applyFont="1" applyFill="1" applyBorder="1" applyAlignment="1" applyProtection="1">
      <alignment vertical="top"/>
    </xf>
    <xf numFmtId="0" fontId="16" fillId="0" borderId="0" xfId="121" applyNumberFormat="1" applyFont="1" applyFill="1" applyBorder="1" applyAlignment="1" applyProtection="1">
      <alignment vertical="top"/>
    </xf>
    <xf numFmtId="0" fontId="14" fillId="0" borderId="10" xfId="121" applyNumberFormat="1" applyFont="1" applyFill="1" applyBorder="1" applyAlignment="1" applyProtection="1">
      <alignment horizontal="center" vertical="center"/>
    </xf>
    <xf numFmtId="0" fontId="14" fillId="0" borderId="52" xfId="121" applyNumberFormat="1" applyFont="1" applyFill="1" applyBorder="1" applyAlignment="1" applyProtection="1">
      <alignment vertical="center"/>
    </xf>
    <xf numFmtId="0" fontId="14" fillId="0" borderId="21" xfId="121" applyNumberFormat="1" applyFont="1" applyFill="1" applyBorder="1" applyAlignment="1" applyProtection="1">
      <alignment horizontal="center" vertical="center"/>
    </xf>
    <xf numFmtId="0" fontId="14" fillId="0" borderId="50" xfId="121" applyNumberFormat="1" applyFont="1" applyFill="1" applyBorder="1" applyAlignment="1" applyProtection="1">
      <alignment vertical="center"/>
    </xf>
    <xf numFmtId="0" fontId="14" fillId="0" borderId="14" xfId="121" applyNumberFormat="1" applyFont="1" applyFill="1" applyBorder="1" applyAlignment="1" applyProtection="1">
      <alignment vertical="center"/>
    </xf>
    <xf numFmtId="0" fontId="14" fillId="0" borderId="53" xfId="121"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vertical="center"/>
    </xf>
    <xf numFmtId="0" fontId="4" fillId="0" borderId="36" xfId="0" applyNumberFormat="1" applyFont="1" applyFill="1" applyBorder="1" applyAlignment="1" applyProtection="1">
      <alignment vertical="center"/>
    </xf>
    <xf numFmtId="176" fontId="4" fillId="0" borderId="36" xfId="0" applyNumberFormat="1" applyFont="1" applyFill="1" applyBorder="1" applyAlignment="1" applyProtection="1">
      <alignment vertical="center"/>
    </xf>
    <xf numFmtId="0" fontId="4" fillId="0" borderId="36" xfId="0" applyNumberFormat="1" applyFont="1" applyFill="1" applyBorder="1" applyAlignment="1" applyProtection="1">
      <alignment vertical="center" shrinkToFit="1"/>
    </xf>
    <xf numFmtId="0" fontId="4" fillId="0" borderId="54" xfId="0" applyNumberFormat="1" applyFont="1" applyFill="1" applyBorder="1" applyAlignment="1" applyProtection="1">
      <alignment vertical="center"/>
    </xf>
    <xf numFmtId="0" fontId="4" fillId="0" borderId="55" xfId="0" applyNumberFormat="1" applyFont="1" applyFill="1" applyBorder="1" applyAlignment="1" applyProtection="1">
      <alignment vertical="center"/>
    </xf>
    <xf numFmtId="176" fontId="4" fillId="0" borderId="56" xfId="0" applyNumberFormat="1" applyFont="1" applyFill="1" applyBorder="1" applyAlignment="1" applyProtection="1">
      <alignment vertical="center"/>
    </xf>
    <xf numFmtId="0" fontId="4" fillId="0" borderId="56" xfId="0" applyNumberFormat="1" applyFont="1" applyFill="1" applyBorder="1" applyAlignment="1" applyProtection="1">
      <alignment vertical="center"/>
    </xf>
    <xf numFmtId="0" fontId="4" fillId="0" borderId="42" xfId="0" applyNumberFormat="1" applyFont="1" applyFill="1" applyBorder="1" applyAlignment="1" applyProtection="1">
      <alignment horizontal="center" vertical="center"/>
    </xf>
    <xf numFmtId="176" fontId="4" fillId="0" borderId="42" xfId="0" applyNumberFormat="1" applyFont="1" applyFill="1" applyBorder="1" applyAlignment="1" applyProtection="1">
      <alignment vertical="center"/>
    </xf>
    <xf numFmtId="0" fontId="0" fillId="0" borderId="36" xfId="0" applyNumberFormat="1" applyFont="1" applyFill="1" applyBorder="1" applyAlignment="1" applyProtection="1">
      <alignment vertical="center"/>
    </xf>
    <xf numFmtId="176" fontId="0" fillId="0" borderId="36" xfId="0" applyNumberFormat="1" applyFont="1" applyFill="1" applyBorder="1" applyAlignment="1" applyProtection="1">
      <alignment vertical="center"/>
    </xf>
    <xf numFmtId="0" fontId="0" fillId="34" borderId="36" xfId="0" applyNumberFormat="1" applyFont="1" applyFill="1" applyBorder="1" applyAlignment="1" applyProtection="1">
      <alignment vertical="center"/>
    </xf>
    <xf numFmtId="0" fontId="0" fillId="34" borderId="0"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0" fontId="0" fillId="0" borderId="57" xfId="0" applyNumberFormat="1" applyFont="1" applyFill="1" applyBorder="1" applyAlignment="1" applyProtection="1">
      <alignment vertical="center"/>
    </xf>
    <xf numFmtId="0" fontId="12" fillId="0" borderId="11" xfId="0" applyNumberFormat="1" applyFont="1" applyFill="1" applyBorder="1" applyAlignment="1" applyProtection="1">
      <alignment horizontal="justify" vertical="center" wrapText="1"/>
    </xf>
    <xf numFmtId="0" fontId="14" fillId="0" borderId="11" xfId="0" applyNumberFormat="1" applyFont="1" applyFill="1" applyBorder="1" applyAlignment="1" applyProtection="1">
      <alignment vertical="center" wrapText="1"/>
    </xf>
    <xf numFmtId="0" fontId="0" fillId="0" borderId="11" xfId="0" applyNumberFormat="1" applyFont="1" applyFill="1" applyBorder="1" applyAlignment="1" applyProtection="1">
      <alignment vertical="center"/>
    </xf>
    <xf numFmtId="0" fontId="12" fillId="0" borderId="11" xfId="0" applyNumberFormat="1" applyFont="1" applyFill="1" applyBorder="1" applyAlignment="1" applyProtection="1">
      <alignment horizontal="center" vertical="center" wrapText="1"/>
    </xf>
    <xf numFmtId="0" fontId="12" fillId="0" borderId="58" xfId="0" applyNumberFormat="1" applyFont="1" applyFill="1" applyBorder="1" applyAlignment="1" applyProtection="1">
      <alignment horizontal="center" vertical="center" wrapText="1"/>
    </xf>
    <xf numFmtId="0" fontId="12" fillId="0" borderId="58" xfId="0" applyNumberFormat="1" applyFont="1" applyFill="1" applyBorder="1" applyAlignment="1" applyProtection="1">
      <alignment horizontal="justify" vertical="center" wrapText="1"/>
    </xf>
    <xf numFmtId="0" fontId="14" fillId="0" borderId="59" xfId="0" applyNumberFormat="1" applyFont="1" applyFill="1" applyBorder="1" applyAlignment="1" applyProtection="1">
      <alignment horizontal="center" vertical="center" wrapText="1"/>
    </xf>
    <xf numFmtId="0" fontId="0" fillId="0" borderId="59" xfId="0" applyNumberFormat="1" applyFont="1" applyFill="1" applyBorder="1" applyAlignment="1" applyProtection="1">
      <alignment vertical="center"/>
    </xf>
    <xf numFmtId="0" fontId="14" fillId="0" borderId="59"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center" vertical="center"/>
    </xf>
    <xf numFmtId="0" fontId="16" fillId="0" borderId="0" xfId="121" applyNumberFormat="1" applyFont="1" applyFill="1" applyBorder="1" applyAlignment="1" applyProtection="1">
      <alignment horizontal="left" vertical="center"/>
    </xf>
    <xf numFmtId="0" fontId="38" fillId="0" borderId="0" xfId="121" applyNumberFormat="1" applyFont="1" applyFill="1" applyBorder="1" applyAlignment="1" applyProtection="1">
      <alignment horizontal="center" vertical="center"/>
    </xf>
    <xf numFmtId="0" fontId="14" fillId="0" borderId="0" xfId="121"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top"/>
    </xf>
    <xf numFmtId="180" fontId="14"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distributed" vertical="center"/>
    </xf>
    <xf numFmtId="0" fontId="42" fillId="0" borderId="0" xfId="0" applyNumberFormat="1" applyFont="1" applyFill="1" applyBorder="1" applyAlignment="1" applyProtection="1">
      <alignment horizontal="distributed" vertical="center"/>
    </xf>
    <xf numFmtId="0" fontId="40" fillId="0" borderId="22" xfId="0" applyNumberFormat="1" applyFont="1" applyFill="1" applyBorder="1" applyAlignment="1" applyProtection="1">
      <alignment horizontal="distributed" vertical="center"/>
    </xf>
    <xf numFmtId="0" fontId="40" fillId="0" borderId="49" xfId="0" applyNumberFormat="1" applyFont="1" applyFill="1" applyBorder="1" applyAlignment="1" applyProtection="1">
      <alignment horizontal="distributed" vertical="center"/>
    </xf>
    <xf numFmtId="0" fontId="40" fillId="0" borderId="22" xfId="0" applyNumberFormat="1" applyFont="1" applyFill="1" applyBorder="1" applyAlignment="1" applyProtection="1">
      <alignment horizontal="center" vertical="center"/>
    </xf>
    <xf numFmtId="0" fontId="40" fillId="0" borderId="49" xfId="0" applyNumberFormat="1" applyFont="1" applyFill="1" applyBorder="1" applyAlignment="1" applyProtection="1">
      <alignment horizontal="center" vertical="center"/>
    </xf>
    <xf numFmtId="0" fontId="40" fillId="0" borderId="13" xfId="0" applyNumberFormat="1" applyFont="1" applyFill="1" applyBorder="1" applyAlignment="1" applyProtection="1">
      <alignment horizontal="distributed" vertical="center"/>
    </xf>
    <xf numFmtId="0" fontId="40" fillId="0" borderId="15" xfId="0" applyNumberFormat="1" applyFont="1" applyFill="1" applyBorder="1" applyAlignment="1" applyProtection="1">
      <alignment horizontal="distributed" vertical="center"/>
    </xf>
    <xf numFmtId="0" fontId="40" fillId="0" borderId="15"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12" xfId="0" applyNumberFormat="1" applyFont="1" applyFill="1" applyBorder="1" applyAlignment="1" applyProtection="1">
      <alignment horizontal="distributed" vertical="center"/>
    </xf>
    <xf numFmtId="0" fontId="40" fillId="0" borderId="0" xfId="0" applyNumberFormat="1" applyFont="1" applyFill="1" applyBorder="1" applyAlignment="1" applyProtection="1">
      <alignment vertical="center"/>
    </xf>
    <xf numFmtId="0" fontId="40" fillId="0" borderId="0" xfId="0" applyNumberFormat="1" applyFont="1" applyFill="1" applyBorder="1" applyAlignment="1" applyProtection="1">
      <alignment horizontal="left" vertical="center"/>
    </xf>
    <xf numFmtId="0" fontId="40" fillId="0" borderId="12"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vertical="center"/>
    </xf>
    <xf numFmtId="0" fontId="42" fillId="0" borderId="12" xfId="0" applyNumberFormat="1" applyFont="1" applyFill="1" applyBorder="1" applyAlignment="1" applyProtection="1">
      <alignment vertical="center"/>
    </xf>
    <xf numFmtId="187" fontId="40" fillId="0" borderId="0" xfId="0" applyNumberFormat="1" applyFont="1" applyFill="1" applyBorder="1" applyAlignment="1" applyProtection="1">
      <alignment horizontal="center" vertical="center"/>
    </xf>
    <xf numFmtId="0" fontId="40" fillId="0" borderId="12" xfId="0" applyNumberFormat="1" applyFont="1" applyFill="1" applyBorder="1" applyAlignment="1" applyProtection="1">
      <alignment horizontal="center" vertical="center"/>
    </xf>
    <xf numFmtId="0" fontId="40" fillId="0" borderId="49" xfId="0" applyNumberFormat="1" applyFont="1" applyFill="1" applyBorder="1" applyAlignment="1" applyProtection="1">
      <alignment vertical="center"/>
    </xf>
    <xf numFmtId="187" fontId="40" fillId="0" borderId="49" xfId="0" applyNumberFormat="1" applyFont="1" applyFill="1" applyBorder="1" applyAlignment="1" applyProtection="1">
      <alignment horizontal="center" vertical="center"/>
    </xf>
    <xf numFmtId="0" fontId="40" fillId="0" borderId="13" xfId="0" applyNumberFormat="1" applyFont="1" applyFill="1" applyBorder="1" applyAlignment="1" applyProtection="1">
      <alignment horizontal="center" vertical="center"/>
    </xf>
    <xf numFmtId="0" fontId="42" fillId="0" borderId="0"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horizontal="center" vertical="center"/>
    </xf>
    <xf numFmtId="0" fontId="40" fillId="0" borderId="15" xfId="0" applyNumberFormat="1" applyFont="1" applyFill="1" applyBorder="1" applyAlignment="1" applyProtection="1">
      <alignment vertical="center"/>
    </xf>
    <xf numFmtId="0" fontId="42" fillId="0" borderId="22" xfId="0" applyNumberFormat="1" applyFont="1" applyFill="1" applyBorder="1" applyAlignment="1" applyProtection="1">
      <alignment horizontal="left" vertical="top"/>
    </xf>
    <xf numFmtId="0" fontId="42" fillId="0" borderId="49" xfId="0" applyNumberFormat="1" applyFont="1" applyFill="1" applyBorder="1" applyAlignment="1" applyProtection="1">
      <alignment horizontal="left" vertical="top"/>
    </xf>
    <xf numFmtId="0" fontId="40" fillId="0" borderId="49" xfId="0" applyNumberFormat="1" applyFont="1" applyFill="1" applyBorder="1" applyAlignment="1" applyProtection="1">
      <alignment horizontal="center" vertical="center" textRotation="255"/>
    </xf>
    <xf numFmtId="0" fontId="42" fillId="0" borderId="15" xfId="0" applyNumberFormat="1" applyFont="1" applyFill="1" applyBorder="1" applyAlignment="1" applyProtection="1">
      <alignment horizontal="left" vertical="top"/>
    </xf>
    <xf numFmtId="0" fontId="42" fillId="0" borderId="0" xfId="0" applyNumberFormat="1" applyFont="1" applyFill="1" applyBorder="1" applyAlignment="1" applyProtection="1">
      <alignment horizontal="left" vertical="top"/>
    </xf>
    <xf numFmtId="0" fontId="40" fillId="0" borderId="0" xfId="0" applyNumberFormat="1" applyFont="1" applyFill="1" applyBorder="1" applyAlignment="1" applyProtection="1">
      <alignment horizontal="center" vertical="center" textRotation="255"/>
    </xf>
    <xf numFmtId="0" fontId="42" fillId="0" borderId="0" xfId="0" applyNumberFormat="1" applyFont="1" applyFill="1" applyBorder="1" applyAlignment="1" applyProtection="1"/>
    <xf numFmtId="0" fontId="40" fillId="0" borderId="14" xfId="0" applyNumberFormat="1" applyFont="1" applyFill="1" applyBorder="1" applyAlignment="1" applyProtection="1">
      <alignment horizontal="distributed" vertical="center"/>
    </xf>
    <xf numFmtId="0" fontId="40" fillId="0" borderId="52" xfId="0" applyNumberFormat="1" applyFont="1" applyFill="1" applyBorder="1" applyAlignment="1" applyProtection="1">
      <alignment horizontal="distributed" vertical="center"/>
    </xf>
    <xf numFmtId="0" fontId="43" fillId="0" borderId="0"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distributed"/>
    </xf>
    <xf numFmtId="0" fontId="44" fillId="0" borderId="0" xfId="0" applyNumberFormat="1" applyFont="1" applyFill="1" applyBorder="1" applyAlignment="1" applyProtection="1">
      <alignment horizontal="center" vertical="center"/>
    </xf>
    <xf numFmtId="0" fontId="42" fillId="0" borderId="15" xfId="0" applyNumberFormat="1" applyFont="1" applyFill="1" applyBorder="1" applyAlignment="1" applyProtection="1"/>
    <xf numFmtId="0" fontId="42" fillId="0" borderId="49" xfId="0" applyNumberFormat="1" applyFont="1" applyFill="1" applyBorder="1" applyAlignment="1" applyProtection="1">
      <alignment horizontal="center" vertical="center"/>
    </xf>
    <xf numFmtId="0" fontId="44" fillId="0" borderId="0" xfId="0" applyNumberFormat="1" applyFont="1" applyFill="1" applyBorder="1" applyAlignment="1" applyProtection="1">
      <alignment vertical="center"/>
    </xf>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vertical="center"/>
    </xf>
    <xf numFmtId="0" fontId="41" fillId="0" borderId="0" xfId="0" applyNumberFormat="1" applyFont="1" applyFill="1" applyBorder="1" applyAlignment="1" applyProtection="1">
      <alignment horizontal="distributed" vertical="center"/>
    </xf>
    <xf numFmtId="0" fontId="41" fillId="37" borderId="0" xfId="0" applyNumberFormat="1" applyFont="1" applyFill="1" applyBorder="1" applyAlignment="1" applyProtection="1"/>
    <xf numFmtId="0" fontId="40" fillId="0" borderId="10" xfId="0" applyNumberFormat="1" applyFont="1" applyFill="1" applyBorder="1" applyAlignment="1" applyProtection="1">
      <alignment horizontal="distributed" vertical="center"/>
    </xf>
    <xf numFmtId="0" fontId="42" fillId="0" borderId="49" xfId="0" applyNumberFormat="1" applyFont="1" applyFill="1" applyBorder="1" applyAlignment="1" applyProtection="1">
      <alignment vertical="center"/>
    </xf>
    <xf numFmtId="0" fontId="14" fillId="35" borderId="0" xfId="0" applyNumberFormat="1" applyFont="1" applyFill="1" applyBorder="1" applyAlignment="1" applyProtection="1">
      <alignment vertical="center"/>
    </xf>
    <xf numFmtId="0" fontId="14" fillId="35" borderId="0" xfId="120" applyNumberFormat="1" applyFont="1" applyFill="1" applyBorder="1" applyAlignment="1" applyProtection="1">
      <alignment vertical="center"/>
    </xf>
    <xf numFmtId="0" fontId="14" fillId="0" borderId="22" xfId="121" applyNumberFormat="1" applyFont="1" applyFill="1" applyBorder="1" applyAlignment="1" applyProtection="1">
      <alignment vertical="top"/>
    </xf>
    <xf numFmtId="0" fontId="14" fillId="0" borderId="49" xfId="121" applyNumberFormat="1" applyFont="1" applyFill="1" applyBorder="1" applyAlignment="1" applyProtection="1">
      <alignment vertical="top"/>
    </xf>
    <xf numFmtId="0" fontId="14" fillId="0" borderId="13" xfId="121" applyNumberFormat="1" applyFont="1" applyFill="1" applyBorder="1" applyAlignment="1" applyProtection="1">
      <alignment vertical="top"/>
    </xf>
    <xf numFmtId="0" fontId="14" fillId="0" borderId="15" xfId="121" applyNumberFormat="1" applyFont="1" applyFill="1" applyBorder="1" applyAlignment="1" applyProtection="1">
      <alignment vertical="top"/>
    </xf>
    <xf numFmtId="0" fontId="14" fillId="0" borderId="12" xfId="121" applyNumberFormat="1" applyFont="1" applyFill="1" applyBorder="1" applyAlignment="1" applyProtection="1">
      <alignment vertical="top"/>
    </xf>
    <xf numFmtId="0" fontId="14" fillId="0" borderId="14" xfId="121" applyNumberFormat="1" applyFont="1" applyFill="1" applyBorder="1" applyAlignment="1" applyProtection="1">
      <alignment vertical="top"/>
    </xf>
    <xf numFmtId="0" fontId="14" fillId="0" borderId="52" xfId="121" applyNumberFormat="1" applyFont="1" applyFill="1" applyBorder="1" applyAlignment="1" applyProtection="1">
      <alignment vertical="top"/>
    </xf>
    <xf numFmtId="0" fontId="47" fillId="0" borderId="10" xfId="121" applyNumberFormat="1" applyFont="1" applyFill="1" applyBorder="1" applyAlignment="1" applyProtection="1">
      <alignment vertical="top"/>
    </xf>
    <xf numFmtId="0" fontId="47" fillId="0" borderId="52" xfId="121" applyNumberFormat="1" applyFont="1" applyFill="1" applyBorder="1" applyAlignment="1" applyProtection="1">
      <alignment vertical="top"/>
    </xf>
    <xf numFmtId="0" fontId="47" fillId="0" borderId="14" xfId="121" applyNumberFormat="1" applyFont="1" applyFill="1" applyBorder="1" applyAlignment="1" applyProtection="1">
      <alignment vertical="top"/>
    </xf>
    <xf numFmtId="0" fontId="16" fillId="0" borderId="12" xfId="0" applyNumberFormat="1" applyFont="1" applyFill="1" applyBorder="1" applyAlignment="1" applyProtection="1">
      <alignment vertical="center"/>
    </xf>
    <xf numFmtId="0" fontId="47" fillId="0" borderId="15" xfId="121" applyNumberFormat="1" applyFont="1" applyFill="1" applyBorder="1" applyAlignment="1" applyProtection="1">
      <alignment vertical="top"/>
    </xf>
    <xf numFmtId="0" fontId="47" fillId="0" borderId="12" xfId="121" applyNumberFormat="1" applyFont="1" applyFill="1" applyBorder="1" applyAlignment="1" applyProtection="1">
      <alignment vertical="top"/>
    </xf>
    <xf numFmtId="0" fontId="14" fillId="33" borderId="52" xfId="120" applyNumberFormat="1" applyFont="1" applyFill="1" applyBorder="1" applyAlignment="1" applyProtection="1">
      <alignment vertical="center"/>
    </xf>
    <xf numFmtId="0" fontId="14" fillId="33" borderId="14" xfId="120" applyNumberFormat="1" applyFont="1" applyFill="1" applyBorder="1" applyAlignment="1" applyProtection="1">
      <alignment vertical="center"/>
    </xf>
    <xf numFmtId="0" fontId="14" fillId="33" borderId="0" xfId="120" applyNumberFormat="1" applyFont="1" applyFill="1" applyBorder="1" applyAlignment="1" applyProtection="1">
      <alignment vertical="center"/>
    </xf>
    <xf numFmtId="0" fontId="14" fillId="33" borderId="15" xfId="120" applyNumberFormat="1" applyFont="1" applyFill="1" applyBorder="1" applyAlignment="1" applyProtection="1">
      <alignment vertical="center"/>
    </xf>
    <xf numFmtId="0" fontId="14" fillId="33" borderId="22" xfId="120" applyNumberFormat="1" applyFont="1" applyFill="1" applyBorder="1" applyAlignment="1" applyProtection="1">
      <alignment vertical="center"/>
    </xf>
    <xf numFmtId="0" fontId="14" fillId="33" borderId="49" xfId="120" applyNumberFormat="1" applyFont="1" applyFill="1" applyBorder="1" applyAlignment="1" applyProtection="1">
      <alignment vertical="center"/>
    </xf>
    <xf numFmtId="0" fontId="14" fillId="35" borderId="0" xfId="121" applyNumberFormat="1" applyFont="1" applyFill="1" applyBorder="1" applyAlignment="1" applyProtection="1">
      <alignment vertical="center"/>
    </xf>
    <xf numFmtId="0" fontId="5" fillId="0" borderId="0" xfId="121" applyNumberFormat="1" applyFont="1" applyFill="1" applyBorder="1" applyAlignment="1" applyProtection="1">
      <alignment vertical="center"/>
    </xf>
    <xf numFmtId="0" fontId="12" fillId="26" borderId="0" xfId="0" applyNumberFormat="1" applyFont="1" applyFill="1" applyBorder="1" applyAlignment="1" applyProtection="1">
      <alignment horizontal="center" vertical="center"/>
      <protection locked="0" hidden="1"/>
    </xf>
    <xf numFmtId="0" fontId="12" fillId="26" borderId="49" xfId="0" applyNumberFormat="1" applyFont="1" applyFill="1" applyBorder="1" applyAlignment="1" applyProtection="1">
      <alignment horizontal="center" vertical="center"/>
      <protection locked="0" hidden="1"/>
    </xf>
    <xf numFmtId="0"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190" fontId="12" fillId="27" borderId="0" xfId="0" applyNumberFormat="1" applyFont="1" applyFill="1" applyBorder="1" applyAlignment="1" applyProtection="1">
      <alignment horizontal="center" vertical="center" shrinkToFit="1"/>
      <protection locked="0"/>
    </xf>
    <xf numFmtId="191" fontId="12" fillId="27" borderId="0" xfId="0" applyNumberFormat="1" applyFont="1" applyFill="1" applyBorder="1" applyAlignment="1" applyProtection="1">
      <alignment horizontal="center" vertical="center" shrinkToFit="1"/>
      <protection locked="0"/>
    </xf>
    <xf numFmtId="190" fontId="12" fillId="27" borderId="0" xfId="0" applyNumberFormat="1" applyFont="1" applyFill="1" applyBorder="1" applyAlignment="1" applyProtection="1">
      <alignment horizontal="center" vertical="center" shrinkToFit="1"/>
      <protection locked="0" hidden="1"/>
    </xf>
    <xf numFmtId="191" fontId="12" fillId="27" borderId="0" xfId="0" applyNumberFormat="1" applyFont="1" applyFill="1" applyBorder="1" applyAlignment="1" applyProtection="1">
      <alignment horizontal="center" vertical="center" shrinkToFit="1"/>
      <protection locked="0" hidden="1"/>
    </xf>
    <xf numFmtId="190" fontId="12" fillId="27" borderId="49" xfId="0" applyNumberFormat="1" applyFont="1" applyFill="1" applyBorder="1" applyAlignment="1" applyProtection="1">
      <alignment horizontal="center" vertical="center" shrinkToFit="1"/>
      <protection locked="0" hidden="1"/>
    </xf>
    <xf numFmtId="191" fontId="12" fillId="27" borderId="49" xfId="0" applyNumberFormat="1" applyFont="1" applyFill="1" applyBorder="1" applyAlignment="1" applyProtection="1">
      <alignment horizontal="center" vertical="center" shrinkToFit="1"/>
      <protection locked="0" hidden="1"/>
    </xf>
    <xf numFmtId="0" fontId="11" fillId="0" borderId="11" xfId="0" applyNumberFormat="1" applyFont="1" applyFill="1" applyBorder="1" applyAlignment="1" applyProtection="1">
      <alignment horizontal="center" vertical="center"/>
    </xf>
    <xf numFmtId="49" fontId="11" fillId="0" borderId="11"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vertical="center"/>
    </xf>
    <xf numFmtId="190" fontId="10" fillId="33" borderId="0" xfId="0" applyNumberFormat="1" applyFont="1" applyFill="1" applyBorder="1" applyAlignment="1" applyProtection="1">
      <alignment horizontal="center" vertical="center" shrinkToFit="1"/>
      <protection locked="0" hidden="1"/>
    </xf>
    <xf numFmtId="191" fontId="10" fillId="33" borderId="0" xfId="0" applyNumberFormat="1" applyFont="1" applyFill="1" applyBorder="1" applyAlignment="1" applyProtection="1">
      <alignment horizontal="center" vertical="center" shrinkToFit="1"/>
      <protection locked="0" hidden="1"/>
    </xf>
    <xf numFmtId="0" fontId="8" fillId="0" borderId="0" xfId="122" applyNumberFormat="1" applyFont="1" applyFill="1" applyBorder="1" applyAlignment="1" applyProtection="1">
      <alignment vertical="center"/>
    </xf>
    <xf numFmtId="0" fontId="7" fillId="0" borderId="0" xfId="122" applyNumberFormat="1" applyFont="1" applyFill="1" applyBorder="1" applyAlignment="1" applyProtection="1">
      <alignment horizontal="center" vertical="center"/>
    </xf>
    <xf numFmtId="0" fontId="49" fillId="0" borderId="0" xfId="122" applyNumberFormat="1" applyFont="1" applyFill="1" applyBorder="1" applyAlignment="1" applyProtection="1">
      <alignment horizontal="center" vertical="center"/>
    </xf>
    <xf numFmtId="0" fontId="50" fillId="0" borderId="0" xfId="122" applyNumberFormat="1" applyFont="1" applyFill="1" applyBorder="1" applyAlignment="1" applyProtection="1">
      <alignment vertical="center"/>
    </xf>
    <xf numFmtId="0" fontId="12" fillId="0" borderId="0" xfId="122" applyNumberFormat="1" applyFont="1" applyFill="1" applyBorder="1" applyAlignment="1" applyProtection="1">
      <alignment vertical="center"/>
    </xf>
    <xf numFmtId="0" fontId="50" fillId="0" borderId="0" xfId="122" applyNumberFormat="1" applyFont="1" applyFill="1" applyBorder="1" applyAlignment="1" applyProtection="1">
      <alignment horizontal="left" vertical="center"/>
    </xf>
    <xf numFmtId="0" fontId="7" fillId="0" borderId="0" xfId="122" applyNumberFormat="1" applyFont="1" applyFill="1" applyBorder="1" applyAlignment="1" applyProtection="1">
      <alignment horizontal="left" vertical="center"/>
    </xf>
    <xf numFmtId="0" fontId="7" fillId="0" borderId="0" xfId="122" applyNumberFormat="1" applyFont="1" applyFill="1" applyBorder="1" applyAlignment="1" applyProtection="1">
      <alignment vertical="center"/>
    </xf>
    <xf numFmtId="0" fontId="50" fillId="35" borderId="0" xfId="122" applyNumberFormat="1" applyFont="1" applyFill="1" applyBorder="1" applyAlignment="1" applyProtection="1">
      <alignment horizontal="left" vertical="center"/>
    </xf>
    <xf numFmtId="0" fontId="7" fillId="35" borderId="0" xfId="122" applyNumberFormat="1" applyFont="1" applyFill="1" applyBorder="1" applyAlignment="1" applyProtection="1">
      <alignment horizontal="center" vertical="center"/>
    </xf>
    <xf numFmtId="0" fontId="49" fillId="35" borderId="0" xfId="122" applyNumberFormat="1" applyFont="1" applyFill="1" applyBorder="1" applyAlignment="1" applyProtection="1">
      <alignment horizontal="center" vertical="center"/>
    </xf>
    <xf numFmtId="0" fontId="0" fillId="38" borderId="11" xfId="0" applyNumberFormat="1" applyFont="1" applyFill="1" applyBorder="1" applyAlignment="1" applyProtection="1">
      <alignment horizontal="center" vertical="center"/>
    </xf>
    <xf numFmtId="180" fontId="14" fillId="0" borderId="0" xfId="0" applyNumberFormat="1" applyFont="1" applyFill="1" applyBorder="1" applyAlignment="1" applyProtection="1">
      <alignment horizontal="center" vertical="center"/>
    </xf>
    <xf numFmtId="192" fontId="14" fillId="33" borderId="0" xfId="0" applyNumberFormat="1" applyFont="1" applyFill="1" applyBorder="1" applyAlignment="1" applyProtection="1">
      <alignment horizontal="right" vertical="center"/>
    </xf>
    <xf numFmtId="0" fontId="14" fillId="35" borderId="0" xfId="0" applyNumberFormat="1" applyFont="1" applyFill="1" applyBorder="1" applyAlignment="1" applyProtection="1">
      <alignment horizontal="right" vertical="center"/>
    </xf>
    <xf numFmtId="189" fontId="12" fillId="0" borderId="0" xfId="122" applyNumberFormat="1" applyFont="1" applyFill="1" applyBorder="1" applyAlignment="1" applyProtection="1">
      <alignment vertical="center"/>
    </xf>
    <xf numFmtId="185" fontId="14" fillId="0" borderId="21" xfId="120" applyNumberFormat="1" applyFont="1" applyFill="1" applyBorder="1" applyAlignment="1" applyProtection="1">
      <alignment vertical="center" shrinkToFit="1"/>
    </xf>
    <xf numFmtId="185" fontId="14" fillId="0" borderId="50" xfId="120" applyNumberFormat="1" applyFont="1" applyFill="1" applyBorder="1" applyAlignment="1" applyProtection="1">
      <alignment vertical="center" shrinkToFit="1"/>
    </xf>
    <xf numFmtId="190" fontId="14" fillId="35" borderId="50" xfId="120" applyNumberFormat="1" applyFont="1" applyFill="1" applyBorder="1" applyAlignment="1" applyProtection="1">
      <alignment vertical="center" shrinkToFit="1"/>
    </xf>
    <xf numFmtId="191" fontId="14" fillId="35" borderId="50" xfId="120" applyNumberFormat="1" applyFont="1" applyFill="1" applyBorder="1" applyAlignment="1" applyProtection="1">
      <alignment vertical="center" shrinkToFit="1"/>
    </xf>
    <xf numFmtId="0" fontId="14" fillId="0" borderId="0" xfId="121" applyNumberFormat="1" applyFont="1" applyFill="1" applyBorder="1" applyAlignment="1" applyProtection="1">
      <alignment horizontal="right" vertical="top"/>
    </xf>
    <xf numFmtId="0" fontId="47" fillId="0" borderId="0" xfId="121" applyNumberFormat="1" applyFont="1" applyFill="1" applyBorder="1" applyAlignment="1" applyProtection="1">
      <alignment vertical="top"/>
    </xf>
    <xf numFmtId="0" fontId="6" fillId="0" borderId="52" xfId="121" applyNumberFormat="1" applyFont="1" applyFill="1" applyBorder="1" applyAlignment="1" applyProtection="1">
      <alignment vertical="center"/>
    </xf>
    <xf numFmtId="0" fontId="6" fillId="0" borderId="49" xfId="121" applyNumberFormat="1" applyFont="1" applyFill="1" applyBorder="1" applyAlignment="1" applyProtection="1">
      <alignment vertical="center"/>
    </xf>
    <xf numFmtId="0" fontId="6" fillId="0" borderId="0" xfId="121" applyNumberFormat="1" applyFont="1" applyFill="1" applyBorder="1" applyAlignment="1" applyProtection="1">
      <alignment horizontal="left" vertical="center"/>
    </xf>
    <xf numFmtId="0" fontId="53" fillId="0" borderId="0" xfId="121" applyNumberFormat="1" applyFont="1" applyFill="1" applyBorder="1" applyAlignment="1" applyProtection="1">
      <alignment vertical="center"/>
    </xf>
    <xf numFmtId="0" fontId="53" fillId="33" borderId="0" xfId="121" applyNumberFormat="1" applyFont="1" applyFill="1" applyBorder="1" applyAlignment="1" applyProtection="1">
      <alignment horizontal="right" vertical="center"/>
    </xf>
    <xf numFmtId="0" fontId="51" fillId="33" borderId="0" xfId="122" applyNumberFormat="1" applyFont="1" applyFill="1" applyBorder="1" applyAlignment="1" applyProtection="1">
      <alignment horizontal="right" vertical="center" shrinkToFit="1"/>
      <protection locked="0" hidden="1"/>
    </xf>
    <xf numFmtId="185" fontId="14" fillId="0" borderId="0" xfId="121" applyNumberFormat="1" applyFont="1" applyFill="1" applyBorder="1" applyAlignment="1" applyProtection="1">
      <alignment vertical="center"/>
    </xf>
    <xf numFmtId="188" fontId="14" fillId="0" borderId="10" xfId="121" applyNumberFormat="1" applyFont="1" applyFill="1" applyBorder="1" applyAlignment="1" applyProtection="1">
      <alignment vertical="center" wrapText="1"/>
    </xf>
    <xf numFmtId="188" fontId="14" fillId="0" borderId="52" xfId="121" applyNumberFormat="1" applyFont="1" applyFill="1" applyBorder="1" applyAlignment="1" applyProtection="1">
      <alignment vertical="center" wrapText="1"/>
    </xf>
    <xf numFmtId="188" fontId="14" fillId="0" borderId="14" xfId="121" applyNumberFormat="1" applyFont="1" applyFill="1" applyBorder="1" applyAlignment="1" applyProtection="1">
      <alignment vertical="center" wrapText="1"/>
    </xf>
    <xf numFmtId="188" fontId="14" fillId="0" borderId="13" xfId="121" applyNumberFormat="1" applyFont="1" applyFill="1" applyBorder="1" applyAlignment="1" applyProtection="1">
      <alignment vertical="center" wrapText="1"/>
    </xf>
    <xf numFmtId="188" fontId="14" fillId="0" borderId="49" xfId="121" applyNumberFormat="1" applyFont="1" applyFill="1" applyBorder="1" applyAlignment="1" applyProtection="1">
      <alignment vertical="center" wrapText="1"/>
    </xf>
    <xf numFmtId="188" fontId="14" fillId="0" borderId="22" xfId="121" applyNumberFormat="1" applyFont="1" applyFill="1" applyBorder="1" applyAlignment="1" applyProtection="1">
      <alignment vertical="center" wrapText="1"/>
    </xf>
    <xf numFmtId="185" fontId="14" fillId="0" borderId="50" xfId="121" applyNumberFormat="1" applyFont="1" applyFill="1" applyBorder="1" applyAlignment="1" applyProtection="1">
      <alignment vertical="center" shrinkToFit="1"/>
    </xf>
    <xf numFmtId="185" fontId="14" fillId="0" borderId="32" xfId="121" applyNumberFormat="1" applyFont="1" applyFill="1" applyBorder="1" applyAlignment="1" applyProtection="1">
      <alignment vertical="center" shrinkToFit="1"/>
    </xf>
    <xf numFmtId="190" fontId="14" fillId="35" borderId="50" xfId="121" applyNumberFormat="1" applyFont="1" applyFill="1" applyBorder="1" applyAlignment="1" applyProtection="1">
      <alignment horizontal="right" vertical="center" shrinkToFit="1"/>
    </xf>
    <xf numFmtId="191" fontId="14" fillId="35" borderId="50" xfId="121" applyNumberFormat="1" applyFont="1" applyFill="1" applyBorder="1" applyAlignment="1" applyProtection="1">
      <alignment horizontal="right" vertical="center" shrinkToFit="1"/>
    </xf>
    <xf numFmtId="190" fontId="14" fillId="35" borderId="0" xfId="121" applyNumberFormat="1" applyFont="1" applyFill="1" applyBorder="1" applyAlignment="1" applyProtection="1">
      <alignment horizontal="right" vertical="center"/>
    </xf>
    <xf numFmtId="191" fontId="14" fillId="35" borderId="0" xfId="121" applyNumberFormat="1" applyFont="1" applyFill="1" applyBorder="1" applyAlignment="1" applyProtection="1">
      <alignment horizontal="right" vertical="center"/>
    </xf>
    <xf numFmtId="0" fontId="14" fillId="33" borderId="0" xfId="121" applyNumberFormat="1" applyFont="1" applyFill="1" applyBorder="1" applyAlignment="1" applyProtection="1">
      <alignment horizontal="right" vertical="center"/>
    </xf>
    <xf numFmtId="185" fontId="14" fillId="0" borderId="50" xfId="0" applyNumberFormat="1" applyFont="1" applyFill="1" applyBorder="1" applyAlignment="1" applyProtection="1">
      <alignment vertical="center"/>
    </xf>
    <xf numFmtId="191" fontId="14" fillId="35" borderId="50" xfId="0" applyNumberFormat="1" applyFont="1" applyFill="1" applyBorder="1" applyAlignment="1" applyProtection="1">
      <alignment vertical="center"/>
    </xf>
    <xf numFmtId="190" fontId="14" fillId="35" borderId="50" xfId="0" applyNumberFormat="1" applyFont="1" applyFill="1" applyBorder="1" applyAlignment="1" applyProtection="1">
      <alignment vertical="center"/>
    </xf>
    <xf numFmtId="0" fontId="6" fillId="33" borderId="0" xfId="0" applyNumberFormat="1" applyFont="1" applyFill="1" applyBorder="1" applyAlignment="1" applyProtection="1">
      <alignment vertical="center"/>
    </xf>
    <xf numFmtId="0" fontId="42" fillId="0" borderId="14" xfId="0" applyNumberFormat="1" applyFont="1" applyFill="1" applyBorder="1" applyAlignment="1" applyProtection="1">
      <alignment vertical="center"/>
    </xf>
    <xf numFmtId="0" fontId="42" fillId="0" borderId="15" xfId="0" applyNumberFormat="1" applyFont="1" applyFill="1" applyBorder="1" applyAlignment="1" applyProtection="1">
      <alignment vertical="center"/>
    </xf>
    <xf numFmtId="0" fontId="42" fillId="0" borderId="22" xfId="0" applyNumberFormat="1" applyFont="1" applyFill="1" applyBorder="1" applyAlignment="1" applyProtection="1">
      <alignment vertical="center"/>
    </xf>
    <xf numFmtId="0" fontId="8" fillId="0" borderId="10" xfId="0" applyNumberFormat="1" applyFont="1" applyFill="1" applyBorder="1" applyAlignment="1" applyProtection="1">
      <alignment vertical="center"/>
    </xf>
    <xf numFmtId="0" fontId="8" fillId="0" borderId="52" xfId="0" applyNumberFormat="1" applyFont="1" applyFill="1" applyBorder="1" applyAlignment="1" applyProtection="1">
      <alignment vertical="center"/>
    </xf>
    <xf numFmtId="0" fontId="8" fillId="0" borderId="14" xfId="0"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5" xfId="0" applyNumberFormat="1" applyFont="1" applyFill="1" applyBorder="1" applyAlignment="1" applyProtection="1">
      <alignment vertical="center"/>
    </xf>
    <xf numFmtId="0" fontId="11" fillId="33" borderId="0" xfId="50" applyNumberFormat="1"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49" xfId="0" applyNumberFormat="1" applyFont="1" applyFill="1" applyBorder="1" applyAlignment="1" applyProtection="1">
      <alignment vertical="center"/>
    </xf>
    <xf numFmtId="0" fontId="8" fillId="0" borderId="22" xfId="0" applyNumberFormat="1" applyFont="1" applyFill="1" applyBorder="1" applyAlignment="1" applyProtection="1">
      <alignment vertical="center"/>
    </xf>
    <xf numFmtId="0" fontId="14" fillId="36" borderId="0" xfId="50" applyNumberFormat="1" applyFont="1" applyFill="1" applyBorder="1" applyAlignment="1" applyProtection="1">
      <alignment horizontal="right" vertical="center"/>
    </xf>
    <xf numFmtId="0" fontId="11" fillId="0" borderId="0" xfId="50" applyNumberFormat="1" applyFont="1" applyFill="1" applyBorder="1" applyAlignment="1" applyProtection="1">
      <alignment horizontal="left" vertical="center"/>
    </xf>
    <xf numFmtId="0" fontId="14" fillId="0" borderId="50" xfId="121" applyNumberFormat="1" applyFont="1" applyFill="1" applyBorder="1" applyAlignment="1" applyProtection="1">
      <alignment vertical="center" shrinkToFit="1"/>
    </xf>
    <xf numFmtId="0" fontId="14" fillId="33" borderId="50" xfId="121" applyNumberFormat="1" applyFont="1" applyFill="1" applyBorder="1" applyAlignment="1" applyProtection="1">
      <alignment horizontal="right" vertical="center" shrinkToFit="1"/>
    </xf>
    <xf numFmtId="0" fontId="56" fillId="0" borderId="0" xfId="121" applyNumberFormat="1" applyFont="1" applyFill="1" applyBorder="1" applyAlignment="1" applyProtection="1">
      <alignment vertical="center" wrapText="1"/>
    </xf>
    <xf numFmtId="0" fontId="8" fillId="0" borderId="0" xfId="122" applyNumberFormat="1" applyFont="1" applyFill="1" applyBorder="1" applyAlignment="1" applyProtection="1">
      <alignment horizontal="left" vertical="center"/>
    </xf>
    <xf numFmtId="0" fontId="6" fillId="39" borderId="0" xfId="0" applyNumberFormat="1" applyFont="1" applyFill="1" applyBorder="1" applyAlignment="1" applyProtection="1">
      <alignment vertical="center"/>
    </xf>
    <xf numFmtId="0" fontId="4" fillId="33" borderId="0" xfId="0" applyNumberFormat="1" applyFont="1" applyFill="1" applyBorder="1" applyAlignment="1" applyProtection="1">
      <alignment vertical="center"/>
    </xf>
    <xf numFmtId="182" fontId="4" fillId="33" borderId="0" xfId="0" applyNumberFormat="1" applyFont="1" applyFill="1" applyBorder="1" applyAlignment="1" applyProtection="1">
      <alignment vertical="center"/>
    </xf>
    <xf numFmtId="0" fontId="4" fillId="31" borderId="12" xfId="0" applyNumberFormat="1" applyFont="1" applyFill="1" applyBorder="1" applyAlignment="1" applyProtection="1">
      <alignment vertical="center" wrapText="1"/>
    </xf>
    <xf numFmtId="0" fontId="4" fillId="31" borderId="47" xfId="0" applyNumberFormat="1" applyFont="1" applyFill="1" applyBorder="1" applyAlignment="1" applyProtection="1">
      <alignment vertical="center" wrapText="1"/>
    </xf>
    <xf numFmtId="0" fontId="4" fillId="31" borderId="27" xfId="0" applyNumberFormat="1" applyFont="1" applyFill="1" applyBorder="1" applyAlignment="1" applyProtection="1">
      <alignment vertical="center" wrapText="1"/>
    </xf>
    <xf numFmtId="0" fontId="4" fillId="31" borderId="0" xfId="0" applyNumberFormat="1" applyFont="1" applyFill="1" applyBorder="1" applyAlignment="1" applyProtection="1">
      <alignment horizontal="left" vertical="center" wrapText="1"/>
    </xf>
    <xf numFmtId="0" fontId="49" fillId="0" borderId="0" xfId="122" applyNumberFormat="1" applyFont="1" applyFill="1" applyBorder="1" applyAlignment="1" applyProtection="1">
      <alignment vertical="center"/>
    </xf>
    <xf numFmtId="0" fontId="12" fillId="27" borderId="0" xfId="0" applyNumberFormat="1" applyFont="1" applyFill="1" applyBorder="1" applyAlignment="1" applyProtection="1">
      <alignment vertical="center" shrinkToFit="1"/>
      <protection locked="0" hidden="1"/>
    </xf>
    <xf numFmtId="0" fontId="0" fillId="0" borderId="0" xfId="0">
      <alignment vertical="center"/>
    </xf>
    <xf numFmtId="0" fontId="59"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4" fillId="24" borderId="16" xfId="0" applyNumberFormat="1" applyFont="1" applyFill="1" applyBorder="1" applyAlignment="1" applyProtection="1">
      <alignment horizontal="left" vertical="center" wrapText="1"/>
    </xf>
    <xf numFmtId="0" fontId="4" fillId="24" borderId="17" xfId="0" applyNumberFormat="1" applyFont="1" applyFill="1" applyBorder="1" applyAlignment="1" applyProtection="1">
      <alignment horizontal="left" vertical="center" wrapText="1"/>
    </xf>
    <xf numFmtId="0" fontId="14" fillId="0" borderId="11"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justify" vertical="center" wrapText="1"/>
    </xf>
    <xf numFmtId="0" fontId="11" fillId="35" borderId="0" xfId="0" applyNumberFormat="1" applyFont="1" applyFill="1" applyBorder="1" applyAlignment="1" applyProtection="1">
      <alignment horizontal="left" vertical="top"/>
    </xf>
    <xf numFmtId="0" fontId="37" fillId="0" borderId="0" xfId="0" applyNumberFormat="1" applyFont="1" applyFill="1" applyBorder="1" applyAlignment="1" applyProtection="1">
      <alignment horizontal="center" vertical="center"/>
    </xf>
    <xf numFmtId="0" fontId="11" fillId="35" borderId="0" xfId="0" applyNumberFormat="1" applyFont="1" applyFill="1" applyBorder="1" applyAlignment="1" applyProtection="1">
      <alignment horizontal="left" vertical="center"/>
    </xf>
    <xf numFmtId="0" fontId="11" fillId="40" borderId="60" xfId="0" applyNumberFormat="1" applyFont="1" applyFill="1" applyBorder="1" applyAlignment="1" applyProtection="1">
      <alignment horizontal="center" vertical="center"/>
    </xf>
    <xf numFmtId="0" fontId="11" fillId="40" borderId="61" xfId="0" applyNumberFormat="1" applyFont="1" applyFill="1" applyBorder="1" applyAlignment="1" applyProtection="1">
      <alignment horizontal="center" vertical="center"/>
    </xf>
    <xf numFmtId="0" fontId="11" fillId="40" borderId="62" xfId="0" applyNumberFormat="1" applyFont="1" applyFill="1" applyBorder="1" applyAlignment="1" applyProtection="1">
      <alignment horizontal="center" vertical="center"/>
    </xf>
    <xf numFmtId="0" fontId="11" fillId="40" borderId="63" xfId="0" applyNumberFormat="1" applyFont="1" applyFill="1" applyBorder="1" applyAlignment="1" applyProtection="1">
      <alignment horizontal="center" vertical="center"/>
    </xf>
    <xf numFmtId="0" fontId="11" fillId="40" borderId="64" xfId="0" applyNumberFormat="1" applyFont="1" applyFill="1" applyBorder="1" applyAlignment="1" applyProtection="1">
      <alignment horizontal="center" vertical="center"/>
    </xf>
    <xf numFmtId="0" fontId="11" fillId="40" borderId="65" xfId="0" applyNumberFormat="1" applyFont="1" applyFill="1" applyBorder="1" applyAlignment="1" applyProtection="1">
      <alignment horizontal="center" vertical="center"/>
    </xf>
    <xf numFmtId="0" fontId="11" fillId="35" borderId="0"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center" vertical="center"/>
    </xf>
    <xf numFmtId="0" fontId="11" fillId="33" borderId="0" xfId="0" applyNumberFormat="1" applyFont="1" applyFill="1" applyBorder="1" applyAlignment="1" applyProtection="1">
      <alignment horizontal="left" vertical="center"/>
    </xf>
    <xf numFmtId="0" fontId="11" fillId="35" borderId="0" xfId="0" applyNumberFormat="1" applyFont="1" applyFill="1" applyBorder="1" applyAlignment="1" applyProtection="1">
      <alignment horizontal="left" vertical="center" shrinkToFit="1"/>
    </xf>
    <xf numFmtId="192" fontId="14" fillId="33" borderId="0" xfId="0" applyNumberFormat="1" applyFont="1" applyFill="1" applyBorder="1" applyAlignment="1" applyProtection="1">
      <alignment horizontal="right" vertical="center"/>
    </xf>
    <xf numFmtId="0" fontId="11" fillId="33" borderId="0" xfId="50" applyNumberFormat="1" applyFont="1" applyFill="1" applyBorder="1" applyAlignment="1" applyProtection="1">
      <alignment horizontal="left" vertical="top"/>
    </xf>
    <xf numFmtId="0" fontId="58" fillId="0" borderId="49" xfId="0" applyNumberFormat="1" applyFont="1" applyFill="1" applyBorder="1" applyAlignment="1" applyProtection="1">
      <alignment horizontal="center" vertical="center"/>
    </xf>
    <xf numFmtId="0" fontId="11" fillId="33" borderId="0" xfId="50" applyNumberFormat="1" applyFont="1" applyFill="1" applyBorder="1" applyAlignment="1" applyProtection="1">
      <alignment horizontal="center" vertical="center"/>
    </xf>
    <xf numFmtId="0" fontId="11" fillId="33" borderId="0" xfId="50" applyNumberFormat="1" applyFont="1" applyFill="1" applyBorder="1" applyAlignment="1" applyProtection="1">
      <alignment horizontal="right" vertical="center"/>
    </xf>
    <xf numFmtId="0" fontId="0" fillId="0" borderId="0" xfId="0" applyNumberFormat="1" applyFont="1" applyFill="1" applyBorder="1" applyAlignment="1" applyProtection="1">
      <alignment horizontal="right" vertical="center"/>
    </xf>
    <xf numFmtId="193" fontId="12" fillId="33" borderId="0" xfId="0" applyNumberFormat="1" applyFont="1" applyFill="1" applyBorder="1" applyAlignment="1" applyProtection="1">
      <alignment horizontal="center" vertical="center"/>
    </xf>
    <xf numFmtId="49" fontId="11" fillId="0" borderId="11"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vertical="center"/>
    </xf>
    <xf numFmtId="0" fontId="11" fillId="0" borderId="21" xfId="0" applyNumberFormat="1" applyFont="1" applyFill="1" applyBorder="1" applyAlignment="1" applyProtection="1">
      <alignment horizontal="left" vertical="center"/>
    </xf>
    <xf numFmtId="0" fontId="11" fillId="0" borderId="50" xfId="0" applyNumberFormat="1" applyFont="1" applyFill="1" applyBorder="1" applyAlignment="1" applyProtection="1">
      <alignment horizontal="left" vertical="center"/>
    </xf>
    <xf numFmtId="0" fontId="11" fillId="0" borderId="32"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left" vertical="top"/>
    </xf>
    <xf numFmtId="0" fontId="11" fillId="0" borderId="32" xfId="0" applyNumberFormat="1" applyFont="1" applyFill="1" applyBorder="1" applyAlignment="1" applyProtection="1">
      <alignment vertical="center"/>
    </xf>
    <xf numFmtId="0" fontId="11" fillId="0" borderId="52"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1" fillId="0" borderId="49" xfId="0" applyNumberFormat="1" applyFont="1" applyFill="1" applyBorder="1" applyAlignment="1" applyProtection="1">
      <alignment horizontal="left" vertical="center" wrapText="1"/>
    </xf>
    <xf numFmtId="0" fontId="0" fillId="0" borderId="11" xfId="0" applyNumberFormat="1" applyFont="1" applyFill="1" applyBorder="1" applyAlignment="1" applyProtection="1">
      <alignment horizontal="left" vertical="top"/>
    </xf>
    <xf numFmtId="0" fontId="11" fillId="0" borderId="11" xfId="0" applyNumberFormat="1" applyFont="1" applyFill="1" applyBorder="1" applyAlignment="1" applyProtection="1">
      <alignment horizontal="left" vertical="center"/>
    </xf>
    <xf numFmtId="0" fontId="0" fillId="0" borderId="11"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vertical="center" wrapText="1"/>
    </xf>
    <xf numFmtId="0" fontId="11" fillId="0" borderId="11" xfId="0" applyNumberFormat="1" applyFont="1" applyFill="1" applyBorder="1" applyAlignment="1" applyProtection="1">
      <alignment vertical="top" wrapText="1"/>
    </xf>
    <xf numFmtId="0" fontId="11" fillId="0" borderId="11" xfId="0" applyNumberFormat="1" applyFont="1" applyFill="1" applyBorder="1" applyAlignment="1" applyProtection="1">
      <alignment vertical="top"/>
    </xf>
    <xf numFmtId="0" fontId="11" fillId="0" borderId="11" xfId="0" applyNumberFormat="1" applyFont="1" applyFill="1" applyBorder="1" applyAlignment="1" applyProtection="1">
      <alignment horizontal="left" vertical="top" wrapText="1"/>
    </xf>
    <xf numFmtId="0" fontId="0" fillId="0" borderId="11" xfId="0" applyNumberFormat="1" applyFont="1" applyFill="1" applyBorder="1" applyAlignment="1" applyProtection="1">
      <alignment horizontal="left" vertical="top" wrapText="1"/>
    </xf>
    <xf numFmtId="0" fontId="11" fillId="0" borderId="11" xfId="0" applyNumberFormat="1" applyFont="1" applyFill="1" applyBorder="1" applyAlignment="1" applyProtection="1">
      <alignment horizontal="left" vertical="center" wrapText="1"/>
    </xf>
    <xf numFmtId="49" fontId="11" fillId="0" borderId="11"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left" vertical="center"/>
    </xf>
    <xf numFmtId="0" fontId="12" fillId="0" borderId="11" xfId="0" applyNumberFormat="1" applyFont="1" applyFill="1" applyBorder="1" applyAlignment="1" applyProtection="1">
      <alignment horizontal="left" vertical="top" wrapText="1"/>
    </xf>
    <xf numFmtId="0" fontId="12" fillId="0" borderId="11" xfId="0" applyNumberFormat="1" applyFont="1" applyFill="1" applyBorder="1" applyAlignment="1" applyProtection="1">
      <alignment horizontal="center" vertical="top" wrapText="1"/>
    </xf>
    <xf numFmtId="0" fontId="12" fillId="27" borderId="0" xfId="0" applyNumberFormat="1" applyFont="1" applyFill="1" applyBorder="1" applyAlignment="1" applyProtection="1">
      <alignment vertical="center" shrinkToFit="1"/>
      <protection locked="0" hidden="1"/>
    </xf>
    <xf numFmtId="0" fontId="0" fillId="0" borderId="0" xfId="0" applyNumberFormat="1" applyFont="1" applyFill="1" applyBorder="1" applyAlignment="1" applyProtection="1">
      <alignment vertical="center" shrinkToFit="1"/>
      <protection locked="0" hidden="1"/>
    </xf>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2" fillId="27" borderId="49" xfId="0" applyNumberFormat="1" applyFont="1" applyFill="1" applyBorder="1" applyAlignment="1" applyProtection="1">
      <alignment horizontal="right" vertical="center" shrinkToFit="1"/>
      <protection locked="0"/>
    </xf>
    <xf numFmtId="0" fontId="0" fillId="27" borderId="49" xfId="0" applyNumberFormat="1" applyFont="1" applyFill="1" applyBorder="1" applyAlignment="1" applyProtection="1">
      <alignment horizontal="right" vertical="center" shrinkToFit="1"/>
      <protection locked="0"/>
    </xf>
    <xf numFmtId="0" fontId="12" fillId="27" borderId="0" xfId="0" applyNumberFormat="1" applyFont="1" applyFill="1" applyBorder="1" applyAlignment="1" applyProtection="1">
      <alignment vertical="center" wrapText="1" shrinkToFit="1"/>
      <protection locked="0" hidden="1"/>
    </xf>
    <xf numFmtId="0" fontId="11" fillId="27" borderId="0" xfId="0" applyNumberFormat="1" applyFont="1" applyFill="1" applyBorder="1" applyAlignment="1" applyProtection="1">
      <alignment vertical="center" shrinkToFit="1"/>
      <protection locked="0" hidden="1"/>
    </xf>
    <xf numFmtId="0" fontId="0" fillId="27" borderId="0" xfId="0" applyNumberFormat="1" applyFont="1" applyFill="1" applyBorder="1" applyAlignment="1" applyProtection="1">
      <alignment vertical="center" shrinkToFit="1"/>
      <protection locked="0" hidden="1"/>
    </xf>
    <xf numFmtId="0" fontId="12" fillId="27" borderId="49" xfId="0" applyNumberFormat="1" applyFont="1" applyFill="1" applyBorder="1" applyAlignment="1" applyProtection="1">
      <alignment vertical="center" shrinkToFit="1"/>
      <protection locked="0" hidden="1"/>
    </xf>
    <xf numFmtId="0" fontId="0" fillId="0" borderId="49" xfId="0" applyNumberFormat="1" applyFont="1" applyFill="1" applyBorder="1" applyAlignment="1" applyProtection="1">
      <alignment vertical="center" shrinkToFit="1"/>
      <protection locked="0" hidden="1"/>
    </xf>
    <xf numFmtId="0" fontId="12" fillId="25" borderId="0" xfId="0" applyNumberFormat="1" applyFont="1" applyFill="1" applyBorder="1" applyAlignment="1" applyProtection="1">
      <alignment vertical="center" shrinkToFit="1"/>
      <protection locked="0"/>
    </xf>
    <xf numFmtId="0" fontId="0" fillId="25" borderId="0" xfId="0" applyNumberFormat="1" applyFont="1" applyFill="1" applyBorder="1" applyAlignment="1" applyProtection="1">
      <alignment vertical="center" shrinkToFit="1"/>
      <protection locked="0"/>
    </xf>
    <xf numFmtId="0" fontId="12" fillId="27" borderId="0" xfId="0" applyNumberFormat="1" applyFont="1" applyFill="1" applyBorder="1" applyAlignment="1" applyProtection="1">
      <alignment horizontal="center" vertical="center" shrinkToFit="1"/>
      <protection locked="0"/>
    </xf>
    <xf numFmtId="0" fontId="0" fillId="27" borderId="0" xfId="0" applyNumberFormat="1" applyFont="1" applyFill="1" applyBorder="1" applyAlignment="1" applyProtection="1">
      <alignment horizontal="center" vertical="center" shrinkToFit="1"/>
      <protection locked="0"/>
    </xf>
    <xf numFmtId="0" fontId="12" fillId="27" borderId="49" xfId="0" applyNumberFormat="1" applyFont="1" applyFill="1" applyBorder="1" applyAlignment="1" applyProtection="1">
      <alignment vertical="center"/>
      <protection locked="0"/>
    </xf>
    <xf numFmtId="0" fontId="0" fillId="27" borderId="49" xfId="0" applyNumberFormat="1" applyFont="1" applyFill="1" applyBorder="1" applyAlignment="1" applyProtection="1">
      <alignment vertical="center"/>
    </xf>
    <xf numFmtId="0" fontId="12" fillId="26" borderId="49" xfId="0" applyNumberFormat="1" applyFont="1" applyFill="1" applyBorder="1" applyAlignment="1" applyProtection="1">
      <alignment horizontal="center" vertical="center"/>
      <protection locked="0" hidden="1"/>
    </xf>
    <xf numFmtId="0" fontId="0" fillId="26" borderId="49" xfId="0" applyNumberFormat="1" applyFont="1" applyFill="1" applyBorder="1" applyAlignment="1" applyProtection="1">
      <alignment horizontal="center" vertical="center"/>
      <protection locked="0" hidden="1"/>
    </xf>
    <xf numFmtId="0" fontId="12" fillId="25" borderId="49" xfId="0" applyNumberFormat="1" applyFont="1" applyFill="1" applyBorder="1" applyAlignment="1" applyProtection="1">
      <alignment vertical="center" shrinkToFit="1"/>
      <protection locked="0"/>
    </xf>
    <xf numFmtId="0" fontId="0" fillId="25" borderId="49" xfId="0" applyNumberFormat="1" applyFont="1" applyFill="1" applyBorder="1" applyAlignment="1" applyProtection="1">
      <alignment vertical="center" shrinkToFit="1"/>
      <protection locked="0"/>
    </xf>
    <xf numFmtId="0" fontId="12" fillId="0" borderId="49" xfId="0" applyNumberFormat="1" applyFont="1" applyFill="1" applyBorder="1" applyAlignment="1" applyProtection="1">
      <alignment horizontal="center" vertical="center"/>
    </xf>
    <xf numFmtId="0" fontId="12" fillId="27" borderId="0" xfId="0" applyNumberFormat="1" applyFont="1" applyFill="1" applyBorder="1" applyAlignment="1" applyProtection="1">
      <alignment vertical="center" wrapText="1"/>
      <protection locked="0" hidden="1"/>
    </xf>
    <xf numFmtId="0" fontId="11" fillId="27" borderId="0" xfId="0" applyNumberFormat="1" applyFont="1" applyFill="1" applyBorder="1" applyAlignment="1" applyProtection="1">
      <alignment vertical="center" wrapText="1"/>
      <protection locked="0" hidden="1"/>
    </xf>
    <xf numFmtId="0" fontId="12" fillId="26" borderId="52" xfId="0" applyNumberFormat="1" applyFont="1" applyFill="1" applyBorder="1" applyAlignment="1" applyProtection="1">
      <alignment horizontal="center" vertical="center"/>
      <protection locked="0" hidden="1"/>
    </xf>
    <xf numFmtId="0" fontId="0" fillId="26" borderId="52" xfId="0" applyNumberFormat="1" applyFont="1" applyFill="1" applyBorder="1" applyAlignment="1" applyProtection="1">
      <alignment horizontal="center" vertical="center"/>
      <protection locked="0" hidden="1"/>
    </xf>
    <xf numFmtId="0" fontId="12" fillId="25" borderId="52" xfId="0" applyNumberFormat="1" applyFont="1" applyFill="1" applyBorder="1" applyAlignment="1" applyProtection="1">
      <alignment vertical="center" shrinkToFit="1"/>
      <protection locked="0"/>
    </xf>
    <xf numFmtId="0" fontId="0" fillId="25" borderId="52" xfId="0" applyNumberFormat="1" applyFont="1" applyFill="1" applyBorder="1" applyAlignment="1" applyProtection="1">
      <alignment vertical="center" shrinkToFit="1"/>
      <protection locked="0"/>
    </xf>
    <xf numFmtId="0" fontId="12" fillId="26" borderId="0" xfId="0" applyNumberFormat="1" applyFont="1" applyFill="1" applyBorder="1" applyAlignment="1" applyProtection="1">
      <alignment horizontal="center" vertical="center"/>
      <protection locked="0" hidden="1"/>
    </xf>
    <xf numFmtId="0" fontId="0" fillId="26" borderId="0" xfId="0" applyNumberFormat="1" applyFont="1" applyFill="1" applyBorder="1" applyAlignment="1" applyProtection="1">
      <alignment horizontal="center" vertical="center"/>
      <protection locked="0" hidden="1"/>
    </xf>
    <xf numFmtId="193" fontId="12" fillId="27" borderId="0" xfId="0" applyNumberFormat="1" applyFont="1" applyFill="1" applyBorder="1" applyAlignment="1" applyProtection="1">
      <alignment horizontal="right" vertical="center" shrinkToFit="1"/>
      <protection locked="0"/>
    </xf>
    <xf numFmtId="193" fontId="12" fillId="27" borderId="0" xfId="0" applyNumberFormat="1" applyFont="1" applyFill="1" applyBorder="1" applyAlignment="1" applyProtection="1">
      <alignment horizontal="center" vertical="center" shrinkToFit="1"/>
      <protection locked="0" hidden="1"/>
    </xf>
    <xf numFmtId="193" fontId="12" fillId="27" borderId="49" xfId="0" applyNumberFormat="1" applyFont="1" applyFill="1" applyBorder="1" applyAlignment="1" applyProtection="1">
      <alignment horizontal="center" vertical="center" shrinkToFit="1"/>
      <protection locked="0" hidden="1"/>
    </xf>
    <xf numFmtId="0" fontId="12" fillId="25" borderId="0" xfId="0" applyNumberFormat="1" applyFont="1" applyFill="1" applyBorder="1" applyAlignment="1" applyProtection="1">
      <alignment horizontal="right" vertical="center"/>
      <protection locked="0"/>
    </xf>
    <xf numFmtId="0" fontId="0" fillId="25" borderId="0" xfId="0" applyNumberFormat="1" applyFont="1" applyFill="1" applyBorder="1" applyAlignment="1" applyProtection="1">
      <alignment vertical="center"/>
      <protection locked="0"/>
    </xf>
    <xf numFmtId="0" fontId="12" fillId="25"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vertical="center"/>
    </xf>
    <xf numFmtId="177" fontId="12" fillId="27" borderId="0" xfId="0" applyNumberFormat="1" applyFont="1" applyFill="1" applyBorder="1" applyAlignment="1" applyProtection="1">
      <alignment horizontal="right" vertical="center" shrinkToFit="1"/>
      <protection locked="0" hidden="1"/>
    </xf>
    <xf numFmtId="177" fontId="0" fillId="27" borderId="0" xfId="0" applyNumberFormat="1" applyFont="1" applyFill="1" applyBorder="1" applyAlignment="1" applyProtection="1">
      <alignment vertical="center" shrinkToFit="1"/>
      <protection locked="0" hidden="1"/>
    </xf>
    <xf numFmtId="177" fontId="12" fillId="27" borderId="0" xfId="0" applyNumberFormat="1" applyFont="1" applyFill="1" applyBorder="1" applyAlignment="1" applyProtection="1">
      <alignment horizontal="center" vertical="center" shrinkToFit="1"/>
      <protection locked="0" hidden="1"/>
    </xf>
    <xf numFmtId="0" fontId="12" fillId="27" borderId="0" xfId="0" applyNumberFormat="1" applyFont="1" applyFill="1" applyBorder="1" applyAlignment="1" applyProtection="1">
      <alignment horizontal="center" vertical="center" shrinkToFit="1"/>
      <protection locked="0" hidden="1"/>
    </xf>
    <xf numFmtId="0" fontId="12" fillId="27" borderId="49" xfId="0" applyNumberFormat="1" applyFont="1" applyFill="1" applyBorder="1" applyAlignment="1" applyProtection="1">
      <alignment horizontal="center" vertical="center" shrinkToFit="1"/>
      <protection locked="0" hidden="1"/>
    </xf>
    <xf numFmtId="0" fontId="0" fillId="27" borderId="49" xfId="0" applyNumberFormat="1" applyFont="1" applyFill="1" applyBorder="1" applyAlignment="1" applyProtection="1">
      <alignment horizontal="center" vertical="center" shrinkToFit="1"/>
      <protection locked="0" hidden="1"/>
    </xf>
    <xf numFmtId="177" fontId="12" fillId="27" borderId="50" xfId="0" applyNumberFormat="1" applyFont="1" applyFill="1" applyBorder="1" applyAlignment="1" applyProtection="1">
      <alignment horizontal="right" vertical="center" shrinkToFit="1"/>
      <protection locked="0" hidden="1"/>
    </xf>
    <xf numFmtId="177" fontId="0" fillId="27" borderId="50" xfId="0" applyNumberFormat="1" applyFont="1" applyFill="1" applyBorder="1" applyAlignment="1" applyProtection="1">
      <alignment vertical="center" shrinkToFit="1"/>
      <protection locked="0" hidden="1"/>
    </xf>
    <xf numFmtId="0" fontId="12" fillId="0" borderId="0" xfId="0" applyNumberFormat="1" applyFont="1" applyFill="1" applyBorder="1" applyAlignment="1" applyProtection="1">
      <alignment vertical="center" shrinkToFit="1"/>
    </xf>
    <xf numFmtId="0" fontId="0" fillId="0" borderId="0" xfId="0" applyNumberFormat="1" applyFont="1" applyFill="1" applyBorder="1" applyAlignment="1" applyProtection="1">
      <alignment vertical="center" shrinkToFit="1"/>
    </xf>
    <xf numFmtId="0" fontId="12" fillId="25" borderId="0" xfId="0" applyNumberFormat="1" applyFont="1" applyFill="1" applyBorder="1" applyAlignment="1" applyProtection="1">
      <alignment horizontal="right" vertical="center" shrinkToFit="1"/>
      <protection locked="0" hidden="1"/>
    </xf>
    <xf numFmtId="0" fontId="12" fillId="25" borderId="0" xfId="0" applyNumberFormat="1" applyFont="1" applyFill="1" applyBorder="1" applyAlignment="1" applyProtection="1">
      <alignment vertical="center" shrinkToFit="1"/>
    </xf>
    <xf numFmtId="0" fontId="0" fillId="25" borderId="0" xfId="0" applyNumberFormat="1" applyFont="1" applyFill="1" applyBorder="1" applyAlignment="1" applyProtection="1">
      <alignment vertical="center" shrinkToFit="1"/>
    </xf>
    <xf numFmtId="0" fontId="8" fillId="0" borderId="0" xfId="0" applyNumberFormat="1" applyFont="1" applyFill="1" applyBorder="1" applyAlignment="1" applyProtection="1">
      <alignment horizontal="center" vertical="center"/>
    </xf>
    <xf numFmtId="0" fontId="8" fillId="0" borderId="49" xfId="0" applyNumberFormat="1" applyFont="1" applyFill="1" applyBorder="1" applyAlignment="1" applyProtection="1">
      <alignment horizontal="center" vertical="center"/>
    </xf>
    <xf numFmtId="0" fontId="9" fillId="33" borderId="11" xfId="122" applyNumberFormat="1" applyFont="1" applyFill="1" applyBorder="1" applyAlignment="1" applyProtection="1">
      <alignment horizontal="left" vertical="center"/>
    </xf>
    <xf numFmtId="0" fontId="9" fillId="0" borderId="11" xfId="122" applyNumberFormat="1" applyFont="1" applyFill="1" applyBorder="1" applyAlignment="1" applyProtection="1">
      <alignment horizontal="left" vertical="center" wrapText="1"/>
    </xf>
    <xf numFmtId="0" fontId="49" fillId="0" borderId="0" xfId="122" applyNumberFormat="1" applyFont="1" applyFill="1" applyBorder="1" applyAlignment="1" applyProtection="1">
      <alignment horizontal="center" vertical="center"/>
    </xf>
    <xf numFmtId="0" fontId="9" fillId="0" borderId="51" xfId="122" applyNumberFormat="1" applyFont="1" applyFill="1" applyBorder="1" applyAlignment="1" applyProtection="1">
      <alignment horizontal="left" vertical="center"/>
    </xf>
    <xf numFmtId="0" fontId="9" fillId="0" borderId="11" xfId="122" applyNumberFormat="1" applyFont="1" applyFill="1" applyBorder="1" applyAlignment="1" applyProtection="1">
      <alignment horizontal="center" vertical="center" wrapText="1"/>
    </xf>
    <xf numFmtId="0" fontId="9" fillId="0" borderId="11" xfId="122" applyNumberFormat="1" applyFont="1" applyFill="1" applyBorder="1" applyAlignment="1" applyProtection="1">
      <alignment horizontal="center" vertical="center"/>
    </xf>
    <xf numFmtId="0" fontId="12" fillId="33" borderId="0" xfId="122" applyNumberFormat="1" applyFont="1" applyFill="1" applyBorder="1" applyAlignment="1" applyProtection="1">
      <alignment horizontal="right" vertical="center"/>
    </xf>
    <xf numFmtId="0" fontId="8" fillId="35" borderId="0" xfId="122" applyNumberFormat="1" applyFont="1" applyFill="1" applyBorder="1" applyAlignment="1" applyProtection="1">
      <alignment horizontal="left" vertical="center"/>
    </xf>
    <xf numFmtId="0" fontId="8" fillId="35" borderId="0" xfId="122" applyNumberFormat="1" applyFont="1" applyFill="1" applyBorder="1" applyAlignment="1" applyProtection="1">
      <alignment horizontal="left" vertical="center" shrinkToFit="1"/>
    </xf>
    <xf numFmtId="0" fontId="40" fillId="0" borderId="52" xfId="0" applyNumberFormat="1" applyFont="1" applyFill="1" applyBorder="1" applyAlignment="1" applyProtection="1">
      <alignment horizontal="right" vertical="center"/>
    </xf>
    <xf numFmtId="0" fontId="40" fillId="0" borderId="0" xfId="0" applyNumberFormat="1" applyFont="1" applyFill="1" applyBorder="1" applyAlignment="1" applyProtection="1">
      <alignment horizontal="right" vertical="center"/>
    </xf>
    <xf numFmtId="0" fontId="40" fillId="0" borderId="49" xfId="0" applyNumberFormat="1" applyFont="1" applyFill="1" applyBorder="1" applyAlignment="1" applyProtection="1">
      <alignment horizontal="right" vertical="center"/>
    </xf>
    <xf numFmtId="0" fontId="42" fillId="0" borderId="10" xfId="0" applyNumberFormat="1" applyFont="1" applyFill="1" applyBorder="1" applyAlignment="1" applyProtection="1">
      <alignment horizontal="center" vertical="center"/>
    </xf>
    <xf numFmtId="0" fontId="42" fillId="0" borderId="52" xfId="0" applyNumberFormat="1" applyFont="1" applyFill="1" applyBorder="1" applyAlignment="1" applyProtection="1">
      <alignment horizontal="center" vertical="center"/>
    </xf>
    <xf numFmtId="0" fontId="42" fillId="0" borderId="12" xfId="0" applyNumberFormat="1" applyFont="1" applyFill="1" applyBorder="1" applyAlignment="1" applyProtection="1">
      <alignment horizontal="center" vertical="center"/>
    </xf>
    <xf numFmtId="0" fontId="42" fillId="0" borderId="0" xfId="0" applyNumberFormat="1" applyFont="1" applyFill="1" applyBorder="1" applyAlignment="1" applyProtection="1">
      <alignment horizontal="center" vertical="center"/>
    </xf>
    <xf numFmtId="0" fontId="42" fillId="0" borderId="13" xfId="0" applyNumberFormat="1" applyFont="1" applyFill="1" applyBorder="1" applyAlignment="1" applyProtection="1">
      <alignment horizontal="center" vertical="center"/>
    </xf>
    <xf numFmtId="0" fontId="42" fillId="0" borderId="49" xfId="0" applyNumberFormat="1" applyFont="1" applyFill="1" applyBorder="1" applyAlignment="1" applyProtection="1">
      <alignment horizontal="center" vertical="center"/>
    </xf>
    <xf numFmtId="0" fontId="42" fillId="0" borderId="52" xfId="0" applyNumberFormat="1" applyFont="1" applyFill="1" applyBorder="1" applyAlignment="1" applyProtection="1">
      <alignment horizontal="right" vertical="center"/>
    </xf>
    <xf numFmtId="0" fontId="42" fillId="0" borderId="0" xfId="0" applyNumberFormat="1" applyFont="1" applyFill="1" applyBorder="1" applyAlignment="1" applyProtection="1">
      <alignment horizontal="right" vertical="center"/>
    </xf>
    <xf numFmtId="0" fontId="42" fillId="0" borderId="49" xfId="0" applyNumberFormat="1" applyFont="1" applyFill="1" applyBorder="1" applyAlignment="1" applyProtection="1">
      <alignment horizontal="right" vertical="center"/>
    </xf>
    <xf numFmtId="0" fontId="42" fillId="33" borderId="0" xfId="0" applyNumberFormat="1" applyFont="1" applyFill="1" applyBorder="1" applyAlignment="1" applyProtection="1">
      <alignment vertical="center"/>
    </xf>
    <xf numFmtId="0" fontId="42" fillId="33" borderId="0" xfId="0" applyNumberFormat="1" applyFont="1" applyFill="1" applyBorder="1" applyAlignment="1" applyProtection="1">
      <alignment horizontal="left" vertical="top"/>
    </xf>
    <xf numFmtId="0" fontId="42" fillId="33" borderId="15" xfId="0" applyNumberFormat="1" applyFont="1" applyFill="1" applyBorder="1" applyAlignment="1" applyProtection="1">
      <alignment horizontal="left" vertical="top"/>
    </xf>
    <xf numFmtId="0" fontId="42" fillId="0" borderId="0" xfId="0" applyNumberFormat="1" applyFont="1" applyFill="1" applyBorder="1" applyAlignment="1" applyProtection="1">
      <alignment horizontal="center" vertical="top"/>
    </xf>
    <xf numFmtId="0" fontId="42" fillId="0" borderId="49" xfId="0" applyNumberFormat="1" applyFont="1" applyFill="1" applyBorder="1" applyAlignment="1" applyProtection="1">
      <alignment horizontal="center" vertical="top"/>
    </xf>
    <xf numFmtId="1" fontId="42" fillId="33" borderId="0" xfId="0" applyNumberFormat="1" applyFont="1" applyFill="1" applyBorder="1" applyAlignment="1" applyProtection="1">
      <alignment horizontal="right" vertical="top"/>
    </xf>
    <xf numFmtId="0" fontId="42" fillId="33" borderId="0" xfId="0" applyNumberFormat="1" applyFont="1" applyFill="1" applyBorder="1" applyAlignment="1" applyProtection="1">
      <alignment horizontal="right" vertical="top"/>
    </xf>
    <xf numFmtId="0" fontId="42" fillId="33" borderId="49" xfId="0" applyNumberFormat="1" applyFont="1" applyFill="1" applyBorder="1" applyAlignment="1" applyProtection="1">
      <alignment horizontal="right" vertical="top"/>
    </xf>
    <xf numFmtId="0" fontId="42" fillId="0" borderId="0" xfId="0" applyNumberFormat="1" applyFont="1" applyFill="1" applyBorder="1" applyAlignment="1" applyProtection="1">
      <alignment horizontal="left" vertical="center"/>
    </xf>
    <xf numFmtId="0" fontId="54" fillId="33" borderId="0" xfId="0" applyNumberFormat="1" applyFont="1" applyFill="1" applyBorder="1" applyAlignment="1" applyProtection="1">
      <alignment horizontal="right" vertical="center"/>
    </xf>
    <xf numFmtId="0" fontId="42" fillId="33" borderId="0" xfId="0" applyNumberFormat="1" applyFont="1" applyFill="1" applyBorder="1" applyAlignment="1" applyProtection="1">
      <alignment horizontal="right" vertical="center"/>
    </xf>
    <xf numFmtId="0" fontId="42" fillId="41" borderId="0" xfId="0" applyNumberFormat="1" applyFont="1" applyFill="1" applyBorder="1" applyAlignment="1" applyProtection="1">
      <alignment horizontal="center" vertical="center"/>
    </xf>
    <xf numFmtId="0" fontId="42" fillId="33" borderId="0" xfId="0" applyNumberFormat="1" applyFont="1" applyFill="1" applyBorder="1" applyAlignment="1" applyProtection="1">
      <alignment horizontal="left" vertical="center"/>
    </xf>
    <xf numFmtId="0" fontId="46" fillId="0" borderId="12"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42" fillId="0" borderId="0" xfId="0" applyNumberFormat="1" applyFont="1" applyFill="1" applyBorder="1" applyAlignment="1" applyProtection="1">
      <alignment horizontal="distributed" vertical="center"/>
    </xf>
    <xf numFmtId="0" fontId="42" fillId="0" borderId="49" xfId="0" applyNumberFormat="1" applyFont="1" applyFill="1" applyBorder="1" applyAlignment="1" applyProtection="1">
      <alignment horizontal="distributed" vertical="center"/>
    </xf>
    <xf numFmtId="0" fontId="40" fillId="0" borderId="0" xfId="0" applyNumberFormat="1" applyFont="1" applyFill="1" applyBorder="1" applyAlignment="1" applyProtection="1">
      <alignment horizontal="center" vertical="center"/>
    </xf>
    <xf numFmtId="0" fontId="40" fillId="0" borderId="49" xfId="0" applyNumberFormat="1" applyFont="1" applyFill="1" applyBorder="1" applyAlignment="1" applyProtection="1">
      <alignment horizontal="center" vertical="center"/>
    </xf>
    <xf numFmtId="0" fontId="42" fillId="33" borderId="0" xfId="0" applyNumberFormat="1" applyFont="1" applyFill="1" applyBorder="1" applyAlignment="1" applyProtection="1">
      <alignment horizontal="center" vertical="center"/>
    </xf>
    <xf numFmtId="0" fontId="42" fillId="0" borderId="0" xfId="0" applyNumberFormat="1" applyFont="1" applyFill="1" applyBorder="1" applyAlignment="1" applyProtection="1">
      <alignment vertical="center"/>
    </xf>
    <xf numFmtId="0" fontId="42" fillId="35" borderId="0" xfId="0" applyNumberFormat="1" applyFont="1" applyFill="1" applyBorder="1" applyAlignment="1" applyProtection="1">
      <alignment vertical="center" shrinkToFit="1"/>
    </xf>
    <xf numFmtId="0" fontId="40" fillId="0" borderId="12" xfId="0" applyNumberFormat="1" applyFont="1" applyFill="1" applyBorder="1" applyAlignment="1" applyProtection="1">
      <alignment horizontal="center" vertical="center"/>
    </xf>
    <xf numFmtId="0" fontId="42" fillId="0" borderId="15" xfId="0" applyNumberFormat="1" applyFont="1" applyFill="1" applyBorder="1" applyAlignment="1" applyProtection="1">
      <alignment vertical="center"/>
    </xf>
    <xf numFmtId="0" fontId="42" fillId="0" borderId="0" xfId="0" applyNumberFormat="1" applyFont="1" applyFill="1" applyBorder="1" applyAlignment="1" applyProtection="1"/>
    <xf numFmtId="0" fontId="42" fillId="0" borderId="15" xfId="0" applyNumberFormat="1" applyFont="1" applyFill="1" applyBorder="1" applyAlignment="1" applyProtection="1"/>
    <xf numFmtId="0" fontId="44" fillId="33" borderId="0"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vertical="top"/>
    </xf>
    <xf numFmtId="0" fontId="42" fillId="0" borderId="15" xfId="0" applyNumberFormat="1" applyFont="1" applyFill="1" applyBorder="1" applyAlignment="1" applyProtection="1">
      <alignment vertical="top"/>
    </xf>
    <xf numFmtId="0" fontId="40" fillId="33" borderId="0" xfId="0" applyNumberFormat="1" applyFont="1" applyFill="1" applyBorder="1" applyAlignment="1" applyProtection="1">
      <alignment horizontal="left" vertical="center"/>
    </xf>
    <xf numFmtId="1" fontId="40" fillId="33" borderId="12" xfId="0" applyNumberFormat="1" applyFont="1" applyFill="1" applyBorder="1" applyAlignment="1" applyProtection="1">
      <alignment horizontal="center" vertical="center"/>
    </xf>
    <xf numFmtId="1" fontId="40" fillId="33" borderId="0"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left" vertical="center"/>
    </xf>
    <xf numFmtId="0" fontId="42" fillId="0" borderId="15" xfId="0" applyNumberFormat="1" applyFont="1" applyFill="1" applyBorder="1" applyAlignment="1" applyProtection="1">
      <alignment horizontal="center" vertical="center"/>
    </xf>
    <xf numFmtId="0" fontId="42" fillId="0" borderId="12" xfId="0" applyNumberFormat="1" applyFont="1" applyFill="1" applyBorder="1" applyAlignment="1" applyProtection="1">
      <alignment horizontal="left"/>
    </xf>
    <xf numFmtId="0" fontId="42" fillId="0" borderId="0" xfId="0" applyNumberFormat="1" applyFont="1" applyFill="1" applyBorder="1" applyAlignment="1" applyProtection="1">
      <alignment horizontal="left"/>
    </xf>
    <xf numFmtId="0" fontId="42" fillId="33" borderId="15" xfId="0" applyNumberFormat="1" applyFont="1" applyFill="1" applyBorder="1" applyAlignment="1" applyProtection="1">
      <alignment horizontal="left" vertical="center"/>
    </xf>
    <xf numFmtId="0" fontId="42" fillId="35" borderId="0" xfId="0" applyNumberFormat="1" applyFont="1" applyFill="1" applyBorder="1" applyAlignment="1" applyProtection="1">
      <alignment horizontal="left" vertical="center" shrinkToFit="1"/>
    </xf>
    <xf numFmtId="0" fontId="41" fillId="0" borderId="0" xfId="0" applyNumberFormat="1" applyFont="1" applyFill="1" applyBorder="1" applyAlignment="1" applyProtection="1">
      <alignment vertical="center"/>
    </xf>
    <xf numFmtId="0" fontId="41" fillId="0" borderId="15" xfId="0" applyNumberFormat="1" applyFont="1" applyFill="1" applyBorder="1" applyAlignment="1" applyProtection="1">
      <alignment vertical="center"/>
    </xf>
    <xf numFmtId="0" fontId="42" fillId="41" borderId="0" xfId="0" applyNumberFormat="1" applyFont="1" applyFill="1" applyBorder="1" applyAlignment="1" applyProtection="1">
      <alignment horizontal="right" vertical="center"/>
    </xf>
    <xf numFmtId="0" fontId="42" fillId="41" borderId="12" xfId="0" applyNumberFormat="1" applyFont="1" applyFill="1" applyBorder="1" applyAlignment="1" applyProtection="1">
      <alignment horizontal="right" vertical="center"/>
    </xf>
    <xf numFmtId="0" fontId="40" fillId="0" borderId="13" xfId="0" applyNumberFormat="1" applyFont="1" applyFill="1" applyBorder="1" applyAlignment="1" applyProtection="1">
      <alignment horizontal="center" vertical="center"/>
    </xf>
    <xf numFmtId="0" fontId="40" fillId="33" borderId="0" xfId="0" applyNumberFormat="1" applyFont="1" applyFill="1" applyBorder="1" applyAlignment="1" applyProtection="1">
      <alignment horizontal="center" vertical="center"/>
    </xf>
    <xf numFmtId="0" fontId="40" fillId="33" borderId="49" xfId="0" applyNumberFormat="1" applyFont="1" applyFill="1" applyBorder="1" applyAlignment="1" applyProtection="1">
      <alignment horizontal="center" vertical="center"/>
    </xf>
    <xf numFmtId="0" fontId="42" fillId="0" borderId="49" xfId="0" applyNumberFormat="1" applyFont="1" applyFill="1" applyBorder="1" applyAlignment="1" applyProtection="1">
      <alignment vertical="center"/>
    </xf>
    <xf numFmtId="0" fontId="40" fillId="0" borderId="12" xfId="0" applyNumberFormat="1" applyFont="1" applyFill="1" applyBorder="1" applyAlignment="1" applyProtection="1">
      <alignment horizontal="left" vertical="center"/>
    </xf>
    <xf numFmtId="0" fontId="42" fillId="0" borderId="12" xfId="0" applyNumberFormat="1" applyFont="1" applyFill="1" applyBorder="1" applyAlignment="1" applyProtection="1">
      <alignment horizontal="distributed" vertical="center"/>
    </xf>
    <xf numFmtId="0" fontId="42" fillId="0" borderId="13" xfId="0" applyNumberFormat="1" applyFont="1" applyFill="1" applyBorder="1" applyAlignment="1" applyProtection="1">
      <alignment horizontal="distributed" vertical="center"/>
    </xf>
    <xf numFmtId="0" fontId="42" fillId="33" borderId="49" xfId="0" applyNumberFormat="1" applyFont="1" applyFill="1" applyBorder="1" applyAlignment="1" applyProtection="1">
      <alignment horizontal="center" vertical="center"/>
    </xf>
    <xf numFmtId="186" fontId="42" fillId="33" borderId="0" xfId="0" applyNumberFormat="1" applyFont="1" applyFill="1" applyBorder="1" applyAlignment="1" applyProtection="1">
      <alignment horizontal="center" vertical="center"/>
    </xf>
    <xf numFmtId="186" fontId="42" fillId="33" borderId="49" xfId="0" applyNumberFormat="1" applyFont="1" applyFill="1" applyBorder="1" applyAlignment="1" applyProtection="1">
      <alignment horizontal="center" vertical="center"/>
    </xf>
    <xf numFmtId="0" fontId="42" fillId="41" borderId="49" xfId="0" applyNumberFormat="1" applyFont="1" applyFill="1" applyBorder="1" applyAlignment="1" applyProtection="1">
      <alignment horizontal="center" vertical="center"/>
    </xf>
    <xf numFmtId="0" fontId="42" fillId="33" borderId="49" xfId="0" applyNumberFormat="1" applyFont="1" applyFill="1" applyBorder="1" applyAlignment="1" applyProtection="1">
      <alignment horizontal="left" vertical="center"/>
    </xf>
    <xf numFmtId="0" fontId="42" fillId="37" borderId="0" xfId="0" applyNumberFormat="1" applyFont="1" applyFill="1" applyBorder="1" applyAlignment="1" applyProtection="1">
      <alignment horizontal="center"/>
    </xf>
    <xf numFmtId="0" fontId="41" fillId="0" borderId="0" xfId="0" applyNumberFormat="1" applyFont="1" applyFill="1" applyBorder="1" applyAlignment="1" applyProtection="1">
      <alignment horizontal="center" vertical="center"/>
    </xf>
    <xf numFmtId="0" fontId="41" fillId="37" borderId="52" xfId="0" applyNumberFormat="1" applyFont="1" applyFill="1" applyBorder="1" applyAlignment="1" applyProtection="1">
      <alignment horizontal="left" vertical="center"/>
    </xf>
    <xf numFmtId="0" fontId="41" fillId="37" borderId="0" xfId="0" applyNumberFormat="1" applyFont="1" applyFill="1" applyBorder="1" applyAlignment="1" applyProtection="1">
      <alignment horizontal="left" vertical="center"/>
    </xf>
    <xf numFmtId="0" fontId="46" fillId="0" borderId="10" xfId="0" applyNumberFormat="1" applyFont="1" applyFill="1" applyBorder="1" applyAlignment="1" applyProtection="1">
      <alignment horizontal="center" vertical="center"/>
    </xf>
    <xf numFmtId="0" fontId="46" fillId="0" borderId="52" xfId="0" applyNumberFormat="1" applyFont="1" applyFill="1" applyBorder="1" applyAlignment="1" applyProtection="1">
      <alignment horizontal="center" vertical="center"/>
    </xf>
    <xf numFmtId="0" fontId="46" fillId="0" borderId="14"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left" vertical="center"/>
    </xf>
    <xf numFmtId="0" fontId="45" fillId="0" borderId="0" xfId="0" applyNumberFormat="1" applyFont="1" applyFill="1" applyBorder="1" applyAlignment="1" applyProtection="1">
      <alignment vertical="center"/>
    </xf>
    <xf numFmtId="0" fontId="55" fillId="0" borderId="52" xfId="0" applyNumberFormat="1" applyFont="1" applyFill="1" applyBorder="1" applyAlignment="1" applyProtection="1">
      <alignment horizontal="center" vertical="center"/>
    </xf>
    <xf numFmtId="0" fontId="42" fillId="35" borderId="0" xfId="0" applyNumberFormat="1" applyFont="1" applyFill="1" applyBorder="1" applyAlignment="1" applyProtection="1">
      <alignment horizontal="left" vertical="center"/>
    </xf>
    <xf numFmtId="0" fontId="42" fillId="35" borderId="0" xfId="0" applyNumberFormat="1" applyFont="1" applyFill="1" applyBorder="1" applyAlignment="1" applyProtection="1">
      <alignment horizontal="center" vertical="center"/>
    </xf>
    <xf numFmtId="0" fontId="42" fillId="35" borderId="0" xfId="0" applyNumberFormat="1" applyFont="1" applyFill="1" applyBorder="1" applyAlignment="1" applyProtection="1">
      <alignment horizontal="right" vertical="center"/>
    </xf>
    <xf numFmtId="0" fontId="44" fillId="35" borderId="0" xfId="0" applyNumberFormat="1" applyFont="1" applyFill="1" applyBorder="1" applyAlignment="1" applyProtection="1">
      <alignment horizontal="left" vertical="center"/>
    </xf>
    <xf numFmtId="0" fontId="40" fillId="35" borderId="0" xfId="0" applyNumberFormat="1" applyFont="1" applyFill="1" applyBorder="1" applyAlignment="1" applyProtection="1">
      <alignment horizontal="left" vertical="center"/>
    </xf>
    <xf numFmtId="0" fontId="42" fillId="35" borderId="0" xfId="0" applyNumberFormat="1" applyFont="1" applyFill="1" applyBorder="1" applyAlignment="1" applyProtection="1">
      <alignment vertical="center"/>
    </xf>
    <xf numFmtId="1" fontId="40" fillId="35" borderId="12" xfId="0" applyNumberFormat="1" applyFont="1" applyFill="1" applyBorder="1" applyAlignment="1" applyProtection="1">
      <alignment horizontal="center" vertical="center"/>
    </xf>
    <xf numFmtId="1" fontId="40" fillId="35" borderId="0" xfId="0" applyNumberFormat="1" applyFont="1" applyFill="1" applyBorder="1" applyAlignment="1" applyProtection="1">
      <alignment horizontal="center" vertical="center"/>
    </xf>
    <xf numFmtId="0" fontId="42" fillId="35" borderId="15" xfId="0" applyNumberFormat="1" applyFont="1" applyFill="1" applyBorder="1" applyAlignment="1" applyProtection="1">
      <alignment horizontal="left" vertical="center"/>
    </xf>
    <xf numFmtId="0" fontId="42" fillId="35" borderId="0" xfId="0" applyNumberFormat="1" applyFont="1" applyFill="1" applyBorder="1" applyAlignment="1" applyProtection="1">
      <alignment horizontal="left" vertical="top"/>
    </xf>
    <xf numFmtId="0" fontId="42" fillId="35" borderId="15" xfId="0" applyNumberFormat="1" applyFont="1" applyFill="1" applyBorder="1" applyAlignment="1" applyProtection="1">
      <alignment horizontal="left" vertical="top"/>
    </xf>
    <xf numFmtId="1" fontId="42" fillId="35" borderId="0" xfId="0" applyNumberFormat="1" applyFont="1" applyFill="1" applyBorder="1" applyAlignment="1" applyProtection="1">
      <alignment horizontal="right" vertical="top"/>
    </xf>
    <xf numFmtId="0" fontId="42" fillId="35" borderId="0" xfId="0" applyNumberFormat="1" applyFont="1" applyFill="1" applyBorder="1" applyAlignment="1" applyProtection="1">
      <alignment horizontal="right" vertical="top"/>
    </xf>
    <xf numFmtId="0" fontId="42" fillId="35" borderId="49" xfId="0" applyNumberFormat="1" applyFont="1" applyFill="1" applyBorder="1" applyAlignment="1" applyProtection="1">
      <alignment horizontal="right" vertical="top"/>
    </xf>
    <xf numFmtId="0" fontId="42" fillId="35" borderId="12" xfId="0" applyNumberFormat="1" applyFont="1" applyFill="1" applyBorder="1" applyAlignment="1" applyProtection="1">
      <alignment horizontal="right" vertical="center"/>
    </xf>
    <xf numFmtId="0" fontId="40" fillId="35" borderId="0" xfId="0" applyNumberFormat="1" applyFont="1" applyFill="1" applyBorder="1" applyAlignment="1" applyProtection="1">
      <alignment horizontal="center" vertical="center"/>
    </xf>
    <xf numFmtId="0" fontId="40" fillId="35" borderId="49" xfId="0" applyNumberFormat="1" applyFont="1" applyFill="1" applyBorder="1" applyAlignment="1" applyProtection="1">
      <alignment horizontal="center" vertical="center"/>
    </xf>
    <xf numFmtId="0" fontId="42" fillId="35" borderId="49" xfId="0" applyNumberFormat="1" applyFont="1" applyFill="1" applyBorder="1" applyAlignment="1" applyProtection="1">
      <alignment horizontal="left" vertical="center"/>
    </xf>
    <xf numFmtId="0" fontId="42" fillId="35" borderId="49" xfId="0" applyNumberFormat="1" applyFont="1" applyFill="1" applyBorder="1" applyAlignment="1" applyProtection="1">
      <alignment horizontal="center" vertical="center"/>
    </xf>
    <xf numFmtId="186" fontId="42" fillId="35" borderId="0" xfId="0" applyNumberFormat="1" applyFont="1" applyFill="1" applyBorder="1" applyAlignment="1" applyProtection="1">
      <alignment horizontal="center" vertical="center"/>
    </xf>
    <xf numFmtId="186" fontId="42" fillId="35" borderId="49" xfId="0" applyNumberFormat="1" applyFont="1" applyFill="1" applyBorder="1" applyAlignment="1" applyProtection="1">
      <alignment horizontal="center" vertical="center"/>
    </xf>
    <xf numFmtId="0" fontId="14" fillId="0" borderId="52" xfId="120" applyNumberFormat="1" applyFont="1" applyFill="1" applyBorder="1" applyAlignment="1" applyProtection="1">
      <alignment horizontal="left" vertical="center" shrinkToFit="1"/>
    </xf>
    <xf numFmtId="0" fontId="14" fillId="0" borderId="0" xfId="120" applyNumberFormat="1" applyFont="1" applyFill="1" applyBorder="1" applyAlignment="1" applyProtection="1">
      <alignment horizontal="left" vertical="center" shrinkToFit="1"/>
    </xf>
    <xf numFmtId="0" fontId="14" fillId="0" borderId="11" xfId="120" applyNumberFormat="1" applyFont="1" applyFill="1" applyBorder="1" applyAlignment="1" applyProtection="1">
      <alignment vertical="center"/>
    </xf>
    <xf numFmtId="0" fontId="14" fillId="35" borderId="21" xfId="120" applyNumberFormat="1" applyFont="1" applyFill="1" applyBorder="1" applyAlignment="1" applyProtection="1">
      <alignment horizontal="left" vertical="center" shrinkToFit="1"/>
    </xf>
    <xf numFmtId="0" fontId="14" fillId="35" borderId="50" xfId="120" applyNumberFormat="1" applyFont="1" applyFill="1" applyBorder="1" applyAlignment="1" applyProtection="1">
      <alignment horizontal="left" vertical="center" shrinkToFit="1"/>
    </xf>
    <xf numFmtId="0" fontId="14" fillId="35" borderId="32" xfId="120" applyNumberFormat="1" applyFont="1" applyFill="1" applyBorder="1" applyAlignment="1" applyProtection="1">
      <alignment horizontal="left" vertical="center" shrinkToFit="1"/>
    </xf>
    <xf numFmtId="0" fontId="14" fillId="35" borderId="21" xfId="120" applyNumberFormat="1" applyFont="1" applyFill="1" applyBorder="1" applyAlignment="1" applyProtection="1">
      <alignment vertical="center" shrinkToFit="1"/>
    </xf>
    <xf numFmtId="0" fontId="14" fillId="35" borderId="50" xfId="120" applyNumberFormat="1" applyFont="1" applyFill="1" applyBorder="1" applyAlignment="1" applyProtection="1">
      <alignment vertical="center" shrinkToFit="1"/>
    </xf>
    <xf numFmtId="0" fontId="14" fillId="35" borderId="50" xfId="120" applyNumberFormat="1" applyFont="1" applyFill="1" applyBorder="1" applyAlignment="1" applyProtection="1">
      <alignment horizontal="center" vertical="center" shrinkToFit="1"/>
    </xf>
    <xf numFmtId="0" fontId="14" fillId="35" borderId="32" xfId="120" applyNumberFormat="1" applyFont="1" applyFill="1" applyBorder="1" applyAlignment="1" applyProtection="1">
      <alignment horizontal="center" vertical="center" shrinkToFit="1"/>
    </xf>
    <xf numFmtId="0" fontId="14" fillId="0" borderId="66" xfId="120" applyNumberFormat="1" applyFont="1" applyFill="1" applyBorder="1" applyAlignment="1" applyProtection="1">
      <alignment horizontal="center" vertical="center"/>
    </xf>
    <xf numFmtId="0" fontId="14" fillId="0" borderId="67" xfId="120" applyNumberFormat="1" applyFont="1" applyFill="1" applyBorder="1" applyAlignment="1" applyProtection="1">
      <alignment horizontal="center" vertical="center"/>
    </xf>
    <xf numFmtId="0" fontId="14" fillId="0" borderId="68" xfId="120" applyNumberFormat="1" applyFont="1" applyFill="1" applyBorder="1" applyAlignment="1" applyProtection="1">
      <alignment horizontal="center" vertical="center"/>
    </xf>
    <xf numFmtId="0" fontId="14" fillId="0" borderId="12" xfId="120" applyNumberFormat="1" applyFont="1" applyFill="1" applyBorder="1" applyAlignment="1" applyProtection="1">
      <alignment horizontal="center" vertical="center"/>
    </xf>
    <xf numFmtId="0" fontId="14" fillId="0" borderId="0" xfId="120" applyNumberFormat="1" applyFont="1" applyFill="1" applyBorder="1" applyAlignment="1" applyProtection="1">
      <alignment horizontal="center" vertical="center"/>
    </xf>
    <xf numFmtId="0" fontId="14" fillId="0" borderId="15" xfId="120" applyNumberFormat="1" applyFont="1" applyFill="1" applyBorder="1" applyAlignment="1" applyProtection="1">
      <alignment horizontal="center" vertical="center"/>
    </xf>
    <xf numFmtId="0" fontId="14" fillId="0" borderId="13" xfId="120" applyNumberFormat="1" applyFont="1" applyFill="1" applyBorder="1" applyAlignment="1" applyProtection="1">
      <alignment horizontal="center" vertical="center"/>
    </xf>
    <xf numFmtId="0" fontId="14" fillId="0" borderId="49" xfId="120" applyNumberFormat="1" applyFont="1" applyFill="1" applyBorder="1" applyAlignment="1" applyProtection="1">
      <alignment horizontal="center" vertical="center"/>
    </xf>
    <xf numFmtId="0" fontId="14" fillId="0" borderId="22" xfId="120" applyNumberFormat="1" applyFont="1" applyFill="1" applyBorder="1" applyAlignment="1" applyProtection="1">
      <alignment horizontal="center" vertical="center"/>
    </xf>
    <xf numFmtId="0" fontId="14" fillId="0" borderId="10" xfId="120" applyNumberFormat="1" applyFont="1" applyFill="1" applyBorder="1" applyAlignment="1" applyProtection="1">
      <alignment horizontal="center" vertical="center"/>
    </xf>
    <xf numFmtId="0" fontId="14" fillId="0" borderId="52" xfId="120" applyNumberFormat="1" applyFont="1" applyFill="1" applyBorder="1" applyAlignment="1" applyProtection="1">
      <alignment horizontal="left" vertical="center" wrapText="1"/>
    </xf>
    <xf numFmtId="0" fontId="14" fillId="0" borderId="14" xfId="120" applyNumberFormat="1" applyFont="1" applyFill="1" applyBorder="1" applyAlignment="1" applyProtection="1">
      <alignment horizontal="left" vertical="center" wrapText="1"/>
    </xf>
    <xf numFmtId="0" fontId="14" fillId="0" borderId="0" xfId="120" applyNumberFormat="1" applyFont="1" applyFill="1" applyBorder="1" applyAlignment="1" applyProtection="1">
      <alignment horizontal="left" vertical="center" wrapText="1"/>
    </xf>
    <xf numFmtId="0" fontId="14" fillId="0" borderId="15" xfId="120" applyNumberFormat="1" applyFont="1" applyFill="1" applyBorder="1" applyAlignment="1" applyProtection="1">
      <alignment horizontal="left" vertical="center" wrapText="1"/>
    </xf>
    <xf numFmtId="0" fontId="14" fillId="0" borderId="49" xfId="120" applyNumberFormat="1" applyFont="1" applyFill="1" applyBorder="1" applyAlignment="1" applyProtection="1">
      <alignment horizontal="left" vertical="center" wrapText="1"/>
    </xf>
    <xf numFmtId="0" fontId="14" fillId="0" borderId="22" xfId="120" applyNumberFormat="1" applyFont="1" applyFill="1" applyBorder="1" applyAlignment="1" applyProtection="1">
      <alignment horizontal="left" vertical="center" wrapText="1"/>
    </xf>
    <xf numFmtId="0" fontId="14" fillId="0" borderId="69" xfId="120" applyNumberFormat="1" applyFont="1" applyFill="1" applyBorder="1" applyAlignment="1" applyProtection="1">
      <alignment horizontal="center" vertical="center" wrapText="1"/>
    </xf>
    <xf numFmtId="0" fontId="14" fillId="0" borderId="70" xfId="120" applyNumberFormat="1" applyFont="1" applyFill="1" applyBorder="1" applyAlignment="1" applyProtection="1">
      <alignment horizontal="center" vertical="center" wrapText="1"/>
    </xf>
    <xf numFmtId="0" fontId="14" fillId="0" borderId="58" xfId="120" applyNumberFormat="1" applyFont="1" applyFill="1" applyBorder="1" applyAlignment="1" applyProtection="1">
      <alignment horizontal="center" vertical="center" wrapText="1"/>
    </xf>
    <xf numFmtId="0" fontId="14" fillId="0" borderId="10" xfId="120" applyNumberFormat="1" applyFont="1" applyFill="1" applyBorder="1" applyAlignment="1" applyProtection="1">
      <alignment horizontal="left" vertical="center" wrapText="1"/>
    </xf>
    <xf numFmtId="0" fontId="14" fillId="0" borderId="12" xfId="120" applyNumberFormat="1" applyFont="1" applyFill="1" applyBorder="1" applyAlignment="1" applyProtection="1">
      <alignment horizontal="left" vertical="center" wrapText="1"/>
    </xf>
    <xf numFmtId="0" fontId="14" fillId="0" borderId="10" xfId="120" applyNumberFormat="1" applyFont="1" applyFill="1" applyBorder="1" applyAlignment="1" applyProtection="1">
      <alignment horizontal="left" vertical="center"/>
    </xf>
    <xf numFmtId="0" fontId="14" fillId="0" borderId="52" xfId="120" applyNumberFormat="1" applyFont="1" applyFill="1" applyBorder="1" applyAlignment="1" applyProtection="1">
      <alignment horizontal="left" vertical="center"/>
    </xf>
    <xf numFmtId="0" fontId="14" fillId="0" borderId="12" xfId="120" applyNumberFormat="1" applyFont="1" applyFill="1" applyBorder="1" applyAlignment="1" applyProtection="1">
      <alignment horizontal="left" vertical="center"/>
    </xf>
    <xf numFmtId="0" fontId="14" fillId="0" borderId="0" xfId="120" applyNumberFormat="1" applyFont="1" applyFill="1" applyBorder="1" applyAlignment="1" applyProtection="1">
      <alignment horizontal="left" vertical="center"/>
    </xf>
    <xf numFmtId="0" fontId="14" fillId="33" borderId="10" xfId="120" applyNumberFormat="1" applyFont="1" applyFill="1" applyBorder="1" applyAlignment="1" applyProtection="1">
      <alignment horizontal="left" vertical="top" wrapText="1" shrinkToFit="1"/>
    </xf>
    <xf numFmtId="0" fontId="14" fillId="33" borderId="52" xfId="120" applyNumberFormat="1" applyFont="1" applyFill="1" applyBorder="1" applyAlignment="1" applyProtection="1">
      <alignment horizontal="left" vertical="top" wrapText="1" shrinkToFit="1"/>
    </xf>
    <xf numFmtId="0" fontId="14" fillId="33" borderId="14" xfId="120" applyNumberFormat="1" applyFont="1" applyFill="1" applyBorder="1" applyAlignment="1" applyProtection="1">
      <alignment horizontal="left" vertical="top" wrapText="1" shrinkToFit="1"/>
    </xf>
    <xf numFmtId="0" fontId="14" fillId="33" borderId="12" xfId="120" applyNumberFormat="1" applyFont="1" applyFill="1" applyBorder="1" applyAlignment="1" applyProtection="1">
      <alignment horizontal="left" vertical="top" wrapText="1" shrinkToFit="1"/>
    </xf>
    <xf numFmtId="0" fontId="14" fillId="33" borderId="0" xfId="120" applyNumberFormat="1" applyFont="1" applyFill="1" applyBorder="1" applyAlignment="1" applyProtection="1">
      <alignment horizontal="left" vertical="top" wrapText="1" shrinkToFit="1"/>
    </xf>
    <xf numFmtId="0" fontId="14" fillId="33" borderId="15" xfId="120" applyNumberFormat="1" applyFont="1" applyFill="1" applyBorder="1" applyAlignment="1" applyProtection="1">
      <alignment horizontal="left" vertical="top" wrapText="1" shrinkToFit="1"/>
    </xf>
    <xf numFmtId="0" fontId="14" fillId="33" borderId="71" xfId="120" applyNumberFormat="1" applyFont="1" applyFill="1" applyBorder="1" applyAlignment="1" applyProtection="1">
      <alignment horizontal="left" vertical="top" wrapText="1" shrinkToFit="1"/>
    </xf>
    <xf numFmtId="0" fontId="14" fillId="33" borderId="72" xfId="120" applyNumberFormat="1" applyFont="1" applyFill="1" applyBorder="1" applyAlignment="1" applyProtection="1">
      <alignment horizontal="left" vertical="top" wrapText="1" shrinkToFit="1"/>
    </xf>
    <xf numFmtId="0" fontId="14" fillId="33" borderId="73" xfId="120" applyNumberFormat="1" applyFont="1" applyFill="1" applyBorder="1" applyAlignment="1" applyProtection="1">
      <alignment horizontal="left" vertical="top" wrapText="1" shrinkToFit="1"/>
    </xf>
    <xf numFmtId="0" fontId="14" fillId="35" borderId="0" xfId="0" applyNumberFormat="1" applyFont="1" applyFill="1" applyBorder="1" applyAlignment="1" applyProtection="1">
      <alignment horizontal="left" vertical="top" wrapText="1"/>
    </xf>
    <xf numFmtId="0" fontId="14" fillId="35" borderId="10" xfId="120" applyNumberFormat="1" applyFont="1" applyFill="1" applyBorder="1" applyAlignment="1" applyProtection="1">
      <alignment horizontal="left" vertical="center" shrinkToFit="1"/>
    </xf>
    <xf numFmtId="0" fontId="14" fillId="35" borderId="52" xfId="120" applyNumberFormat="1" applyFont="1" applyFill="1" applyBorder="1" applyAlignment="1" applyProtection="1">
      <alignment horizontal="left" vertical="center" shrinkToFit="1"/>
    </xf>
    <xf numFmtId="0" fontId="14" fillId="35" borderId="14" xfId="120" applyNumberFormat="1" applyFont="1" applyFill="1" applyBorder="1" applyAlignment="1" applyProtection="1">
      <alignment horizontal="left" vertical="center" shrinkToFit="1"/>
    </xf>
    <xf numFmtId="0" fontId="14" fillId="33" borderId="10" xfId="120" applyNumberFormat="1" applyFont="1" applyFill="1" applyBorder="1" applyAlignment="1" applyProtection="1">
      <alignment horizontal="left" vertical="top" wrapText="1"/>
    </xf>
    <xf numFmtId="0" fontId="14" fillId="33" borderId="52" xfId="120" applyNumberFormat="1" applyFont="1" applyFill="1" applyBorder="1" applyAlignment="1" applyProtection="1">
      <alignment horizontal="left" vertical="top" wrapText="1"/>
    </xf>
    <xf numFmtId="0" fontId="14" fillId="33" borderId="14" xfId="120" applyNumberFormat="1" applyFont="1" applyFill="1" applyBorder="1" applyAlignment="1" applyProtection="1">
      <alignment horizontal="left" vertical="top" wrapText="1"/>
    </xf>
    <xf numFmtId="0" fontId="14" fillId="33" borderId="12" xfId="120" applyNumberFormat="1" applyFont="1" applyFill="1" applyBorder="1" applyAlignment="1" applyProtection="1">
      <alignment horizontal="left" vertical="top" wrapText="1"/>
    </xf>
    <xf numFmtId="0" fontId="14" fillId="33" borderId="0" xfId="120" applyNumberFormat="1" applyFont="1" applyFill="1" applyBorder="1" applyAlignment="1" applyProtection="1">
      <alignment horizontal="left" vertical="top" wrapText="1"/>
    </xf>
    <xf numFmtId="0" fontId="14" fillId="33" borderId="15" xfId="120" applyNumberFormat="1" applyFont="1" applyFill="1" applyBorder="1" applyAlignment="1" applyProtection="1">
      <alignment horizontal="left" vertical="top" wrapText="1"/>
    </xf>
    <xf numFmtId="0" fontId="14" fillId="33" borderId="13" xfId="120" applyNumberFormat="1" applyFont="1" applyFill="1" applyBorder="1" applyAlignment="1" applyProtection="1">
      <alignment horizontal="left" vertical="top" wrapText="1"/>
    </xf>
    <xf numFmtId="0" fontId="14" fillId="33" borderId="49" xfId="120" applyNumberFormat="1" applyFont="1" applyFill="1" applyBorder="1" applyAlignment="1" applyProtection="1">
      <alignment horizontal="left" vertical="top" wrapText="1"/>
    </xf>
    <xf numFmtId="0" fontId="14" fillId="33" borderId="22" xfId="120" applyNumberFormat="1" applyFont="1" applyFill="1" applyBorder="1" applyAlignment="1" applyProtection="1">
      <alignment horizontal="left" vertical="top" wrapText="1"/>
    </xf>
    <xf numFmtId="0" fontId="14" fillId="0" borderId="66" xfId="120" applyNumberFormat="1" applyFont="1" applyFill="1" applyBorder="1" applyAlignment="1" applyProtection="1">
      <alignment horizontal="center" vertical="center" wrapText="1"/>
    </xf>
    <xf numFmtId="0" fontId="14" fillId="0" borderId="12" xfId="120" applyNumberFormat="1" applyFont="1" applyFill="1" applyBorder="1" applyAlignment="1" applyProtection="1">
      <alignment horizontal="center" vertical="center" wrapText="1"/>
    </xf>
    <xf numFmtId="0" fontId="14" fillId="0" borderId="10" xfId="120" applyNumberFormat="1" applyFont="1" applyFill="1" applyBorder="1" applyAlignment="1" applyProtection="1">
      <alignment horizontal="center" vertical="center" wrapText="1"/>
    </xf>
    <xf numFmtId="0" fontId="14" fillId="0" borderId="14" xfId="120" applyNumberFormat="1" applyFont="1" applyFill="1" applyBorder="1" applyAlignment="1" applyProtection="1">
      <alignment horizontal="center" vertical="center"/>
    </xf>
    <xf numFmtId="0" fontId="14" fillId="0" borderId="13" xfId="120" applyNumberFormat="1" applyFont="1" applyFill="1" applyBorder="1" applyAlignment="1" applyProtection="1">
      <alignment horizontal="left" vertical="center" wrapText="1"/>
    </xf>
    <xf numFmtId="0" fontId="14" fillId="0" borderId="14" xfId="120" applyNumberFormat="1" applyFont="1" applyFill="1" applyBorder="1" applyAlignment="1" applyProtection="1">
      <alignment horizontal="left" vertical="center"/>
    </xf>
    <xf numFmtId="0" fontId="14" fillId="0" borderId="49" xfId="120" applyNumberFormat="1" applyFont="1" applyFill="1" applyBorder="1" applyAlignment="1" applyProtection="1">
      <alignment horizontal="left" vertical="center"/>
    </xf>
    <xf numFmtId="0" fontId="14" fillId="0" borderId="22" xfId="120" applyNumberFormat="1" applyFont="1" applyFill="1" applyBorder="1" applyAlignment="1" applyProtection="1">
      <alignment horizontal="left" vertical="center"/>
    </xf>
    <xf numFmtId="0" fontId="14" fillId="0" borderId="15" xfId="120" applyNumberFormat="1" applyFont="1" applyFill="1" applyBorder="1" applyAlignment="1" applyProtection="1">
      <alignment horizontal="left" vertical="center"/>
    </xf>
    <xf numFmtId="0" fontId="14" fillId="0" borderId="13" xfId="12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center" vertical="center"/>
    </xf>
    <xf numFmtId="193" fontId="14" fillId="35" borderId="50" xfId="120" applyNumberFormat="1" applyFont="1" applyFill="1" applyBorder="1" applyAlignment="1" applyProtection="1">
      <alignment horizontal="center" vertical="center" shrinkToFit="1"/>
    </xf>
    <xf numFmtId="0" fontId="14" fillId="33" borderId="0" xfId="120" applyNumberFormat="1" applyFont="1" applyFill="1" applyBorder="1" applyAlignment="1" applyProtection="1">
      <alignment horizontal="right" vertical="center"/>
    </xf>
    <xf numFmtId="0" fontId="6" fillId="0" borderId="0" xfId="121" applyNumberFormat="1" applyFont="1" applyFill="1" applyBorder="1" applyAlignment="1" applyProtection="1">
      <alignment horizontal="center" vertical="center"/>
    </xf>
    <xf numFmtId="188" fontId="14" fillId="0" borderId="52" xfId="121" applyNumberFormat="1" applyFont="1" applyFill="1" applyBorder="1" applyAlignment="1" applyProtection="1">
      <alignment horizontal="center" vertical="center" wrapText="1"/>
    </xf>
    <xf numFmtId="188" fontId="14" fillId="0" borderId="49" xfId="121" applyNumberFormat="1" applyFont="1" applyFill="1" applyBorder="1" applyAlignment="1" applyProtection="1">
      <alignment horizontal="center" vertical="center" wrapText="1"/>
    </xf>
    <xf numFmtId="191" fontId="14" fillId="35" borderId="52" xfId="121" applyNumberFormat="1" applyFont="1" applyFill="1" applyBorder="1" applyAlignment="1" applyProtection="1">
      <alignment horizontal="center" vertical="center" wrapText="1"/>
    </xf>
    <xf numFmtId="191" fontId="14" fillId="35" borderId="49" xfId="121" applyNumberFormat="1" applyFont="1" applyFill="1" applyBorder="1" applyAlignment="1" applyProtection="1">
      <alignment horizontal="center" vertical="center" wrapText="1"/>
    </xf>
    <xf numFmtId="190" fontId="14" fillId="35" borderId="52" xfId="121" applyNumberFormat="1" applyFont="1" applyFill="1" applyBorder="1" applyAlignment="1" applyProtection="1">
      <alignment horizontal="center" vertical="center" wrapText="1"/>
    </xf>
    <xf numFmtId="190" fontId="14" fillId="35" borderId="49" xfId="121" applyNumberFormat="1" applyFont="1" applyFill="1" applyBorder="1" applyAlignment="1" applyProtection="1">
      <alignment horizontal="center" vertical="center" wrapText="1"/>
    </xf>
    <xf numFmtId="0" fontId="14" fillId="35" borderId="0" xfId="121" applyNumberFormat="1" applyFont="1" applyFill="1" applyBorder="1" applyAlignment="1" applyProtection="1">
      <alignment horizontal="left" vertical="top" wrapText="1"/>
    </xf>
    <xf numFmtId="0" fontId="14" fillId="35" borderId="10" xfId="121" applyNumberFormat="1" applyFont="1" applyFill="1" applyBorder="1" applyAlignment="1" applyProtection="1">
      <alignment horizontal="left" vertical="top" wrapText="1"/>
    </xf>
    <xf numFmtId="0" fontId="14" fillId="35" borderId="52" xfId="121" applyNumberFormat="1" applyFont="1" applyFill="1" applyBorder="1" applyAlignment="1" applyProtection="1">
      <alignment horizontal="left" vertical="top" wrapText="1"/>
    </xf>
    <xf numFmtId="0" fontId="14" fillId="35" borderId="14" xfId="121" applyNumberFormat="1" applyFont="1" applyFill="1" applyBorder="1" applyAlignment="1" applyProtection="1">
      <alignment horizontal="left" vertical="top" wrapText="1"/>
    </xf>
    <xf numFmtId="0" fontId="14" fillId="35" borderId="12" xfId="121" applyNumberFormat="1" applyFont="1" applyFill="1" applyBorder="1" applyAlignment="1" applyProtection="1">
      <alignment horizontal="left" vertical="top" wrapText="1"/>
    </xf>
    <xf numFmtId="0" fontId="14" fillId="35" borderId="15" xfId="121" applyNumberFormat="1" applyFont="1" applyFill="1" applyBorder="1" applyAlignment="1" applyProtection="1">
      <alignment horizontal="left" vertical="top" wrapText="1"/>
    </xf>
    <xf numFmtId="0" fontId="14" fillId="35" borderId="13" xfId="121" applyNumberFormat="1" applyFont="1" applyFill="1" applyBorder="1" applyAlignment="1" applyProtection="1">
      <alignment horizontal="left" vertical="top" wrapText="1"/>
    </xf>
    <xf numFmtId="0" fontId="14" fillId="35" borderId="49" xfId="121" applyNumberFormat="1" applyFont="1" applyFill="1" applyBorder="1" applyAlignment="1" applyProtection="1">
      <alignment horizontal="left" vertical="top" wrapText="1"/>
    </xf>
    <xf numFmtId="0" fontId="14" fillId="35" borderId="22" xfId="121" applyNumberFormat="1" applyFont="1" applyFill="1" applyBorder="1" applyAlignment="1" applyProtection="1">
      <alignment horizontal="left" vertical="top" wrapText="1"/>
    </xf>
    <xf numFmtId="0" fontId="14" fillId="0" borderId="0" xfId="121" applyNumberFormat="1" applyFont="1" applyFill="1" applyBorder="1" applyAlignment="1" applyProtection="1">
      <alignment horizontal="left" vertical="distributed" wrapText="1"/>
    </xf>
    <xf numFmtId="0" fontId="16" fillId="0" borderId="0" xfId="121" applyNumberFormat="1" applyFont="1" applyFill="1" applyBorder="1" applyAlignment="1" applyProtection="1">
      <alignment horizontal="left" vertical="center"/>
    </xf>
    <xf numFmtId="0" fontId="38" fillId="0" borderId="0" xfId="121" applyNumberFormat="1" applyFont="1" applyFill="1" applyBorder="1" applyAlignment="1" applyProtection="1">
      <alignment horizontal="center" vertical="center"/>
    </xf>
    <xf numFmtId="0" fontId="14" fillId="35" borderId="0" xfId="121" applyNumberFormat="1" applyFont="1" applyFill="1" applyBorder="1" applyAlignment="1" applyProtection="1">
      <alignment horizontal="left" vertical="center" shrinkToFit="1"/>
    </xf>
    <xf numFmtId="0" fontId="53" fillId="33" borderId="0" xfId="121" applyNumberFormat="1" applyFont="1" applyFill="1" applyBorder="1" applyAlignment="1" applyProtection="1">
      <alignment horizontal="right" vertical="center"/>
    </xf>
    <xf numFmtId="0" fontId="53" fillId="33" borderId="11" xfId="121" applyNumberFormat="1" applyFont="1" applyFill="1" applyBorder="1" applyAlignment="1" applyProtection="1">
      <alignment horizontal="center" vertical="center"/>
    </xf>
    <xf numFmtId="0" fontId="14" fillId="35" borderId="10" xfId="121" applyNumberFormat="1" applyFont="1" applyFill="1" applyBorder="1" applyAlignment="1" applyProtection="1">
      <alignment horizontal="center" vertical="center" wrapText="1"/>
    </xf>
    <xf numFmtId="0" fontId="14" fillId="35" borderId="52" xfId="121" applyNumberFormat="1" applyFont="1" applyFill="1" applyBorder="1" applyAlignment="1" applyProtection="1">
      <alignment horizontal="center" vertical="center" wrapText="1"/>
    </xf>
    <xf numFmtId="0" fontId="14" fillId="35" borderId="14" xfId="121" applyNumberFormat="1" applyFont="1" applyFill="1" applyBorder="1" applyAlignment="1" applyProtection="1">
      <alignment horizontal="center" vertical="center" wrapText="1"/>
    </xf>
    <xf numFmtId="0" fontId="14" fillId="35" borderId="13" xfId="121" applyNumberFormat="1" applyFont="1" applyFill="1" applyBorder="1" applyAlignment="1" applyProtection="1">
      <alignment horizontal="center" vertical="center" wrapText="1"/>
    </xf>
    <xf numFmtId="0" fontId="14" fillId="35" borderId="49" xfId="121" applyNumberFormat="1" applyFont="1" applyFill="1" applyBorder="1" applyAlignment="1" applyProtection="1">
      <alignment horizontal="center" vertical="center" wrapText="1"/>
    </xf>
    <xf numFmtId="0" fontId="14" fillId="35" borderId="22" xfId="121" applyNumberFormat="1" applyFont="1" applyFill="1" applyBorder="1" applyAlignment="1" applyProtection="1">
      <alignment horizontal="center" vertical="center" wrapText="1"/>
    </xf>
    <xf numFmtId="193" fontId="14" fillId="35" borderId="52" xfId="121" applyNumberFormat="1" applyFont="1" applyFill="1" applyBorder="1" applyAlignment="1" applyProtection="1">
      <alignment horizontal="center" vertical="center" wrapText="1"/>
    </xf>
    <xf numFmtId="193" fontId="14" fillId="35" borderId="49" xfId="121"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left" vertical="center" shrinkToFit="1"/>
    </xf>
    <xf numFmtId="0" fontId="14" fillId="0" borderId="50" xfId="121" applyNumberFormat="1" applyFont="1" applyFill="1" applyBorder="1" applyAlignment="1" applyProtection="1">
      <alignment horizontal="distributed" vertical="center" wrapText="1"/>
    </xf>
    <xf numFmtId="0" fontId="14" fillId="35" borderId="21" xfId="121" applyNumberFormat="1" applyFont="1" applyFill="1" applyBorder="1" applyAlignment="1" applyProtection="1">
      <alignment horizontal="left" vertical="center" shrinkToFit="1"/>
    </xf>
    <xf numFmtId="0" fontId="14" fillId="35" borderId="50" xfId="121" applyNumberFormat="1" applyFont="1" applyFill="1" applyBorder="1" applyAlignment="1" applyProtection="1">
      <alignment horizontal="left" vertical="center" shrinkToFit="1"/>
    </xf>
    <xf numFmtId="0" fontId="14" fillId="35" borderId="32" xfId="121" applyNumberFormat="1" applyFont="1" applyFill="1" applyBorder="1" applyAlignment="1" applyProtection="1">
      <alignment horizontal="left" vertical="center" shrinkToFit="1"/>
    </xf>
    <xf numFmtId="0" fontId="39" fillId="0" borderId="0" xfId="121" applyNumberFormat="1" applyFont="1" applyFill="1" applyBorder="1" applyAlignment="1" applyProtection="1">
      <alignment horizontal="center" vertical="center"/>
    </xf>
    <xf numFmtId="0" fontId="14" fillId="35" borderId="21" xfId="121" applyNumberFormat="1" applyFont="1" applyFill="1" applyBorder="1" applyAlignment="1" applyProtection="1">
      <alignment horizontal="left" vertical="center" wrapText="1"/>
    </xf>
    <xf numFmtId="0" fontId="14" fillId="35" borderId="50" xfId="121" applyNumberFormat="1" applyFont="1" applyFill="1" applyBorder="1" applyAlignment="1" applyProtection="1">
      <alignment horizontal="left" vertical="center" wrapText="1"/>
    </xf>
    <xf numFmtId="0" fontId="14" fillId="35" borderId="32" xfId="121" applyNumberFormat="1" applyFont="1" applyFill="1" applyBorder="1" applyAlignment="1" applyProtection="1">
      <alignment horizontal="left" vertical="center" wrapText="1"/>
    </xf>
    <xf numFmtId="0" fontId="14" fillId="33" borderId="0" xfId="121" applyNumberFormat="1" applyFont="1" applyFill="1" applyBorder="1" applyAlignment="1" applyProtection="1">
      <alignment horizontal="right" vertical="center"/>
    </xf>
    <xf numFmtId="193" fontId="14" fillId="35" borderId="0" xfId="121" applyNumberFormat="1" applyFont="1" applyFill="1" applyBorder="1" applyAlignment="1" applyProtection="1">
      <alignment horizontal="right" vertical="center"/>
    </xf>
    <xf numFmtId="0" fontId="14" fillId="0" borderId="74" xfId="121" applyNumberFormat="1" applyFont="1" applyFill="1" applyBorder="1" applyAlignment="1" applyProtection="1">
      <alignment horizontal="center" vertical="center" wrapText="1"/>
    </xf>
    <xf numFmtId="0" fontId="14" fillId="0" borderId="53" xfId="121" applyNumberFormat="1" applyFont="1" applyFill="1" applyBorder="1" applyAlignment="1" applyProtection="1">
      <alignment horizontal="center" vertical="center" wrapText="1"/>
    </xf>
    <xf numFmtId="0" fontId="14" fillId="0" borderId="74" xfId="121" applyNumberFormat="1" applyFont="1" applyFill="1" applyBorder="1" applyAlignment="1" applyProtection="1">
      <alignment horizontal="center" vertical="center"/>
    </xf>
    <xf numFmtId="0" fontId="14" fillId="0" borderId="75" xfId="121" applyNumberFormat="1" applyFont="1" applyFill="1" applyBorder="1" applyAlignment="1" applyProtection="1">
      <alignment horizontal="center" vertical="center"/>
    </xf>
    <xf numFmtId="0" fontId="14" fillId="0" borderId="53" xfId="121" applyNumberFormat="1" applyFont="1" applyFill="1" applyBorder="1" applyAlignment="1" applyProtection="1">
      <alignment horizontal="center" vertical="center"/>
    </xf>
    <xf numFmtId="0" fontId="14" fillId="0" borderId="76" xfId="121" applyNumberFormat="1" applyFont="1" applyFill="1" applyBorder="1" applyAlignment="1" applyProtection="1">
      <alignment horizontal="distributed" vertical="center" wrapText="1"/>
    </xf>
    <xf numFmtId="0" fontId="14" fillId="33" borderId="77" xfId="121" applyNumberFormat="1" applyFont="1" applyFill="1" applyBorder="1" applyAlignment="1" applyProtection="1">
      <alignment horizontal="left" vertical="center" wrapText="1"/>
    </xf>
    <xf numFmtId="0" fontId="14" fillId="33" borderId="76" xfId="121" applyNumberFormat="1" applyFont="1" applyFill="1" applyBorder="1" applyAlignment="1" applyProtection="1">
      <alignment horizontal="left" vertical="center" wrapText="1"/>
    </xf>
    <xf numFmtId="0" fontId="14" fillId="33" borderId="78" xfId="121" applyNumberFormat="1" applyFont="1" applyFill="1" applyBorder="1" applyAlignment="1" applyProtection="1">
      <alignment horizontal="left" vertical="center" wrapText="1"/>
    </xf>
    <xf numFmtId="193" fontId="14" fillId="35" borderId="21" xfId="121" applyNumberFormat="1" applyFont="1" applyFill="1" applyBorder="1" applyAlignment="1" applyProtection="1">
      <alignment horizontal="right" vertical="center" shrinkToFit="1"/>
    </xf>
    <xf numFmtId="193" fontId="14" fillId="35" borderId="50" xfId="121" applyNumberFormat="1" applyFont="1" applyFill="1" applyBorder="1" applyAlignment="1" applyProtection="1">
      <alignment horizontal="right" vertical="center" shrinkToFit="1"/>
    </xf>
    <xf numFmtId="0" fontId="14" fillId="0" borderId="0" xfId="121" applyNumberFormat="1" applyFont="1" applyFill="1" applyBorder="1" applyAlignment="1" applyProtection="1">
      <alignment horizontal="left" vertical="center" shrinkToFit="1"/>
    </xf>
    <xf numFmtId="193" fontId="14" fillId="35" borderId="0" xfId="121" applyNumberFormat="1" applyFont="1" applyFill="1" applyBorder="1" applyAlignment="1" applyProtection="1">
      <alignment vertical="center"/>
    </xf>
    <xf numFmtId="0" fontId="14" fillId="33" borderId="21" xfId="121" applyNumberFormat="1" applyFont="1" applyFill="1" applyBorder="1" applyAlignment="1" applyProtection="1">
      <alignment horizontal="left" vertical="center" shrinkToFit="1"/>
    </xf>
    <xf numFmtId="0" fontId="14" fillId="33" borderId="50" xfId="121" applyNumberFormat="1" applyFont="1" applyFill="1" applyBorder="1" applyAlignment="1" applyProtection="1">
      <alignment horizontal="left" vertical="center" shrinkToFit="1"/>
    </xf>
    <xf numFmtId="0" fontId="14" fillId="33" borderId="32" xfId="121" applyNumberFormat="1" applyFont="1" applyFill="1" applyBorder="1" applyAlignment="1" applyProtection="1">
      <alignment horizontal="left" vertical="center" shrinkToFit="1"/>
    </xf>
    <xf numFmtId="0" fontId="14" fillId="33" borderId="21" xfId="121" applyNumberFormat="1" applyFont="1" applyFill="1" applyBorder="1" applyAlignment="1" applyProtection="1">
      <alignment horizontal="right" vertical="center" shrinkToFit="1"/>
    </xf>
    <xf numFmtId="0" fontId="14" fillId="33" borderId="50" xfId="121" applyNumberFormat="1" applyFont="1" applyFill="1" applyBorder="1" applyAlignment="1" applyProtection="1">
      <alignment horizontal="right" vertical="center" shrinkToFit="1"/>
    </xf>
    <xf numFmtId="0" fontId="14" fillId="0" borderId="50" xfId="0" applyNumberFormat="1" applyFont="1" applyFill="1" applyBorder="1" applyAlignment="1" applyProtection="1">
      <alignment vertical="center"/>
    </xf>
    <xf numFmtId="0" fontId="14" fillId="0" borderId="32" xfId="0" applyNumberFormat="1" applyFont="1" applyFill="1" applyBorder="1" applyAlignment="1" applyProtection="1">
      <alignment vertical="center"/>
    </xf>
    <xf numFmtId="0" fontId="14" fillId="35" borderId="50" xfId="0" applyNumberFormat="1" applyFont="1" applyFill="1" applyBorder="1" applyAlignment="1" applyProtection="1">
      <alignment horizontal="center" vertical="center"/>
    </xf>
    <xf numFmtId="0" fontId="14" fillId="35" borderId="32" xfId="0" applyNumberFormat="1" applyFont="1" applyFill="1" applyBorder="1" applyAlignment="1" applyProtection="1">
      <alignment horizontal="center" vertical="center"/>
    </xf>
    <xf numFmtId="0" fontId="14" fillId="33" borderId="0" xfId="0" applyNumberFormat="1" applyFont="1" applyFill="1" applyBorder="1" applyAlignment="1" applyProtection="1">
      <alignment horizontal="right" vertical="center"/>
    </xf>
    <xf numFmtId="193" fontId="14" fillId="35" borderId="21" xfId="0" applyNumberFormat="1" applyFont="1" applyFill="1" applyBorder="1" applyAlignment="1" applyProtection="1">
      <alignment horizontal="right" vertical="center"/>
    </xf>
    <xf numFmtId="193" fontId="14" fillId="35" borderId="50" xfId="0" applyNumberFormat="1" applyFont="1" applyFill="1" applyBorder="1" applyAlignment="1" applyProtection="1">
      <alignment horizontal="right" vertical="center"/>
    </xf>
    <xf numFmtId="0" fontId="14" fillId="0" borderId="49" xfId="0" applyNumberFormat="1" applyFont="1" applyFill="1" applyBorder="1" applyAlignment="1" applyProtection="1">
      <alignment vertical="center"/>
    </xf>
    <xf numFmtId="0" fontId="14" fillId="0" borderId="22" xfId="0" applyNumberFormat="1" applyFont="1" applyFill="1" applyBorder="1" applyAlignment="1" applyProtection="1">
      <alignment vertical="center"/>
    </xf>
    <xf numFmtId="0" fontId="14" fillId="33" borderId="21" xfId="0" applyNumberFormat="1" applyFont="1" applyFill="1" applyBorder="1" applyAlignment="1" applyProtection="1">
      <alignment vertical="center"/>
    </xf>
    <xf numFmtId="0" fontId="14" fillId="33" borderId="50" xfId="0" applyNumberFormat="1" applyFont="1" applyFill="1" applyBorder="1" applyAlignment="1" applyProtection="1">
      <alignment vertical="center"/>
    </xf>
    <xf numFmtId="0" fontId="14" fillId="33" borderId="32" xfId="0" applyNumberFormat="1" applyFont="1" applyFill="1" applyBorder="1" applyAlignment="1" applyProtection="1">
      <alignment vertical="center"/>
    </xf>
    <xf numFmtId="0" fontId="14" fillId="0" borderId="21" xfId="0" applyNumberFormat="1" applyFont="1" applyFill="1" applyBorder="1" applyAlignment="1" applyProtection="1">
      <alignment horizontal="center" vertical="center" wrapText="1"/>
    </xf>
    <xf numFmtId="0" fontId="14" fillId="0" borderId="32" xfId="0" applyNumberFormat="1" applyFont="1" applyFill="1" applyBorder="1" applyAlignment="1" applyProtection="1">
      <alignment horizontal="center" vertical="center"/>
    </xf>
    <xf numFmtId="0" fontId="14" fillId="0" borderId="21" xfId="0" applyNumberFormat="1" applyFont="1" applyFill="1" applyBorder="1" applyAlignment="1" applyProtection="1">
      <alignment horizontal="center" vertical="center"/>
    </xf>
    <xf numFmtId="0" fontId="14" fillId="0" borderId="5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wrapText="1"/>
    </xf>
    <xf numFmtId="0" fontId="14" fillId="0" borderId="0"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4" fillId="35" borderId="21" xfId="0" applyNumberFormat="1" applyFont="1" applyFill="1" applyBorder="1" applyAlignment="1" applyProtection="1">
      <alignment horizontal="left" vertical="center" wrapText="1"/>
    </xf>
    <xf numFmtId="0" fontId="14" fillId="35" borderId="50" xfId="0" applyNumberFormat="1" applyFont="1" applyFill="1" applyBorder="1" applyAlignment="1" applyProtection="1">
      <alignment horizontal="left" vertical="center" wrapText="1"/>
    </xf>
    <xf numFmtId="0" fontId="14" fillId="35" borderId="32" xfId="0" applyNumberFormat="1" applyFont="1" applyFill="1" applyBorder="1" applyAlignment="1" applyProtection="1">
      <alignment horizontal="left" vertical="center" wrapText="1"/>
    </xf>
    <xf numFmtId="0" fontId="14" fillId="0" borderId="50" xfId="0" applyNumberFormat="1" applyFont="1" applyFill="1" applyBorder="1" applyAlignment="1" applyProtection="1">
      <alignment vertical="center" wrapText="1"/>
    </xf>
    <xf numFmtId="0" fontId="8" fillId="35" borderId="0" xfId="122" applyNumberFormat="1" applyFont="1" applyFill="1" applyBorder="1" applyAlignment="1" applyProtection="1">
      <alignment horizontal="left" vertical="top" shrinkToFit="1"/>
    </xf>
    <xf numFmtId="0" fontId="52" fillId="0" borderId="10" xfId="0" applyNumberFormat="1" applyFont="1" applyFill="1" applyBorder="1" applyAlignment="1" applyProtection="1">
      <alignment horizontal="center" vertical="center"/>
    </xf>
    <xf numFmtId="0" fontId="52" fillId="0" borderId="52" xfId="0" applyNumberFormat="1" applyFont="1" applyFill="1" applyBorder="1" applyAlignment="1" applyProtection="1">
      <alignment horizontal="center" vertical="center"/>
    </xf>
    <xf numFmtId="0" fontId="52" fillId="0" borderId="14" xfId="0" applyNumberFormat="1" applyFont="1" applyFill="1" applyBorder="1" applyAlignment="1" applyProtection="1">
      <alignment horizontal="center" vertical="center"/>
    </xf>
    <xf numFmtId="0" fontId="52" fillId="0" borderId="12" xfId="0" applyNumberFormat="1" applyFont="1" applyFill="1" applyBorder="1" applyAlignment="1" applyProtection="1">
      <alignment horizontal="center" vertical="center"/>
    </xf>
    <xf numFmtId="0" fontId="52" fillId="0" borderId="0" xfId="0" applyNumberFormat="1" applyFont="1" applyFill="1" applyBorder="1" applyAlignment="1" applyProtection="1">
      <alignment horizontal="center" vertical="center"/>
    </xf>
    <xf numFmtId="0" fontId="52" fillId="0" borderId="15" xfId="0" applyNumberFormat="1" applyFont="1" applyFill="1" applyBorder="1" applyAlignment="1" applyProtection="1">
      <alignment horizontal="center" vertical="center"/>
    </xf>
    <xf numFmtId="0" fontId="52" fillId="0" borderId="13" xfId="0" applyNumberFormat="1" applyFont="1" applyFill="1" applyBorder="1" applyAlignment="1" applyProtection="1">
      <alignment horizontal="center" vertical="center"/>
    </xf>
    <xf numFmtId="0" fontId="52" fillId="0" borderId="49" xfId="0" applyNumberFormat="1" applyFont="1" applyFill="1" applyBorder="1" applyAlignment="1" applyProtection="1">
      <alignment horizontal="center" vertical="center"/>
    </xf>
    <xf numFmtId="0" fontId="52" fillId="0" borderId="22" xfId="0" applyNumberFormat="1" applyFont="1" applyFill="1" applyBorder="1" applyAlignment="1" applyProtection="1">
      <alignment horizontal="center" vertical="center"/>
    </xf>
    <xf numFmtId="0" fontId="0" fillId="38" borderId="11" xfId="0" applyNumberFormat="1" applyFont="1" applyFill="1" applyBorder="1" applyAlignment="1" applyProtection="1">
      <alignment horizontal="left" vertical="center"/>
    </xf>
    <xf numFmtId="0" fontId="0" fillId="38" borderId="11" xfId="0" applyNumberFormat="1" applyFont="1" applyFill="1" applyBorder="1" applyAlignment="1" applyProtection="1">
      <alignment horizontal="center"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2 2" xfId="59"/>
    <cellStyle name="パーセント 2 3" xfId="60"/>
    <cellStyle name="ハイパーリンク" xfId="2" builtinId="8"/>
    <cellStyle name="メモ 2" xfId="33"/>
    <cellStyle name="リンク セル 2" xfId="34"/>
    <cellStyle name="悪い 2" xfId="35"/>
    <cellStyle name="計算 2" xfId="36"/>
    <cellStyle name="警告文 2" xfId="37"/>
    <cellStyle name="桁区切り 2" xfId="38"/>
    <cellStyle name="見出し 1 2" xfId="39"/>
    <cellStyle name="見出し 2 2" xfId="40"/>
    <cellStyle name="見出し 3 2" xfId="41"/>
    <cellStyle name="見出し 4 2" xfId="42"/>
    <cellStyle name="集計 2" xfId="43"/>
    <cellStyle name="出力 2" xfId="44"/>
    <cellStyle name="説明文 2" xfId="45"/>
    <cellStyle name="通貨 2" xfId="47"/>
    <cellStyle name="通貨 2 2" xfId="61"/>
    <cellStyle name="通貨 2 2 2" xfId="62"/>
    <cellStyle name="通貨 2 2 3" xfId="63"/>
    <cellStyle name="通貨 2 3" xfId="64"/>
    <cellStyle name="通貨 2 4" xfId="65"/>
    <cellStyle name="通貨 2 5" xfId="66"/>
    <cellStyle name="通貨 2 6" xfId="67"/>
    <cellStyle name="通貨 3" xfId="46"/>
    <cellStyle name="通貨 3 2" xfId="68"/>
    <cellStyle name="入力 2" xfId="48"/>
    <cellStyle name="標準" xfId="0" builtinId="0"/>
    <cellStyle name="標準 10" xfId="69"/>
    <cellStyle name="標準 11" xfId="70"/>
    <cellStyle name="標準 12" xfId="71"/>
    <cellStyle name="標準 13" xfId="72"/>
    <cellStyle name="標準 14" xfId="73"/>
    <cellStyle name="標準 15" xfId="74"/>
    <cellStyle name="標準 16" xfId="75"/>
    <cellStyle name="標準 17" xfId="76"/>
    <cellStyle name="標準 18" xfId="77"/>
    <cellStyle name="標準 19" xfId="78"/>
    <cellStyle name="標準 2" xfId="1"/>
    <cellStyle name="標準 2 2" xfId="50"/>
    <cellStyle name="標準 2 3" xfId="51"/>
    <cellStyle name="標準 2 3 2" xfId="79"/>
    <cellStyle name="標準 2 4" xfId="49"/>
    <cellStyle name="標準 2 5" xfId="80"/>
    <cellStyle name="標準 20" xfId="81"/>
    <cellStyle name="標準 21" xfId="82"/>
    <cellStyle name="標準 22" xfId="83"/>
    <cellStyle name="標準 23" xfId="84"/>
    <cellStyle name="標準 24" xfId="85"/>
    <cellStyle name="標準 25" xfId="86"/>
    <cellStyle name="標準 26" xfId="87"/>
    <cellStyle name="標準 27" xfId="88"/>
    <cellStyle name="標準 28" xfId="89"/>
    <cellStyle name="標準 29" xfId="90"/>
    <cellStyle name="標準 3" xfId="52"/>
    <cellStyle name="標準 3 2" xfId="56"/>
    <cellStyle name="標準 30" xfId="58"/>
    <cellStyle name="標準 31" xfId="91"/>
    <cellStyle name="標準 32" xfId="92"/>
    <cellStyle name="標準 33" xfId="93"/>
    <cellStyle name="標準 34" xfId="94"/>
    <cellStyle name="標準 35" xfId="95"/>
    <cellStyle name="標準 36" xfId="96"/>
    <cellStyle name="標準 37" xfId="97"/>
    <cellStyle name="標準 38" xfId="98"/>
    <cellStyle name="標準 39" xfId="99"/>
    <cellStyle name="標準 4" xfId="53"/>
    <cellStyle name="標準 4 2" xfId="100"/>
    <cellStyle name="標準 4 2 2" xfId="101"/>
    <cellStyle name="標準 4 3" xfId="102"/>
    <cellStyle name="標準 40" xfId="103"/>
    <cellStyle name="標準 41" xfId="104"/>
    <cellStyle name="標準 42" xfId="105"/>
    <cellStyle name="標準 43" xfId="106"/>
    <cellStyle name="標準 44" xfId="107"/>
    <cellStyle name="標準 45" xfId="108"/>
    <cellStyle name="標準 46" xfId="122"/>
    <cellStyle name="標準 5" xfId="4"/>
    <cellStyle name="標準 5 2" xfId="57"/>
    <cellStyle name="標準 5 2 2" xfId="109"/>
    <cellStyle name="標準 5 2 3" xfId="110"/>
    <cellStyle name="標準 5 2 4" xfId="111"/>
    <cellStyle name="標準 5 3" xfId="112"/>
    <cellStyle name="標準 5 4" xfId="113"/>
    <cellStyle name="標準 5 5" xfId="114"/>
    <cellStyle name="標準 50" xfId="120"/>
    <cellStyle name="標準 51" xfId="121"/>
    <cellStyle name="標準 6" xfId="55"/>
    <cellStyle name="標準 6 2" xfId="115"/>
    <cellStyle name="標準 7" xfId="116"/>
    <cellStyle name="標準 7 2" xfId="117"/>
    <cellStyle name="標準 8" xfId="118"/>
    <cellStyle name="標準 9" xfId="119"/>
    <cellStyle name="標準_主要用途" xfId="3"/>
    <cellStyle name="良い 2" xfId="54"/>
  </cellStyles>
  <dxfs count="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99CC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46276</xdr:colOff>
      <xdr:row>18</xdr:row>
      <xdr:rowOff>5730</xdr:rowOff>
    </xdr:from>
    <xdr:to>
      <xdr:col>32</xdr:col>
      <xdr:colOff>182249</xdr:colOff>
      <xdr:row>18</xdr:row>
      <xdr:rowOff>5730</xdr:rowOff>
    </xdr:to>
    <xdr:sp macro="" textlink="">
      <xdr:nvSpPr>
        <xdr:cNvPr id="1025" name="Picture 1025">
          <a:extLst>
            <a:ext uri="{FF2B5EF4-FFF2-40B4-BE49-F238E27FC236}">
              <a16:creationId xmlns:a16="http://schemas.microsoft.com/office/drawing/2014/main" id="{00000000-0008-0000-0E00-000001040000}"/>
            </a:ext>
          </a:extLst>
        </xdr:cNvPr>
        <xdr:cNvSpPr/>
      </xdr:nvSpPr>
      <xdr:spPr>
        <a:xfrm>
          <a:off x="760638" y="13616667"/>
          <a:ext cx="6508297"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4930</xdr:colOff>
      <xdr:row>75</xdr:row>
      <xdr:rowOff>44053</xdr:rowOff>
    </xdr:from>
    <xdr:to>
      <xdr:col>37</xdr:col>
      <xdr:colOff>29301</xdr:colOff>
      <xdr:row>84</xdr:row>
      <xdr:rowOff>36612</xdr:rowOff>
    </xdr:to>
    <xdr:sp macro="" textlink="">
      <xdr:nvSpPr>
        <xdr:cNvPr id="2" name="左大かっこ 1">
          <a:extLst>
            <a:ext uri="{FF2B5EF4-FFF2-40B4-BE49-F238E27FC236}">
              <a16:creationId xmlns:a16="http://schemas.microsoft.com/office/drawing/2014/main" id="{ED283CAF-BB67-4274-A522-5333E99DACD9}"/>
            </a:ext>
          </a:extLst>
        </xdr:cNvPr>
        <xdr:cNvSpPr/>
      </xdr:nvSpPr>
      <xdr:spPr>
        <a:xfrm>
          <a:off x="3433932" y="12902712"/>
          <a:ext cx="119626" cy="15357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lstStyle/>
        <a:p>
          <a:endParaRPr/>
        </a:p>
      </xdr:txBody>
    </xdr:sp>
    <xdr:clientData/>
  </xdr:twoCellAnchor>
  <xdr:twoCellAnchor>
    <xdr:from>
      <xdr:col>68</xdr:col>
      <xdr:colOff>42509</xdr:colOff>
      <xdr:row>75</xdr:row>
      <xdr:rowOff>35123</xdr:rowOff>
    </xdr:from>
    <xdr:to>
      <xdr:col>69</xdr:col>
      <xdr:colOff>51253</xdr:colOff>
      <xdr:row>84</xdr:row>
      <xdr:rowOff>27980</xdr:rowOff>
    </xdr:to>
    <xdr:sp macro="" textlink="">
      <xdr:nvSpPr>
        <xdr:cNvPr id="3" name="左大かっこ 2">
          <a:extLst>
            <a:ext uri="{FF2B5EF4-FFF2-40B4-BE49-F238E27FC236}">
              <a16:creationId xmlns:a16="http://schemas.microsoft.com/office/drawing/2014/main" id="{C8A34C76-EDCF-4543-BD93-B2F333FA370A}"/>
            </a:ext>
          </a:extLst>
        </xdr:cNvPr>
        <xdr:cNvSpPr/>
      </xdr:nvSpPr>
      <xdr:spPr>
        <a:xfrm flipH="1">
          <a:off x="6519497" y="12893920"/>
          <a:ext cx="104042" cy="15357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lstStyle/>
        <a:p>
          <a:endParaRPr/>
        </a:p>
      </xdr:txBody>
    </xdr:sp>
    <xdr:clientData/>
  </xdr:twoCellAnchor>
  <xdr:twoCellAnchor>
    <xdr:from>
      <xdr:col>36</xdr:col>
      <xdr:colOff>4930</xdr:colOff>
      <xdr:row>197</xdr:row>
      <xdr:rowOff>44053</xdr:rowOff>
    </xdr:from>
    <xdr:to>
      <xdr:col>37</xdr:col>
      <xdr:colOff>29301</xdr:colOff>
      <xdr:row>206</xdr:row>
      <xdr:rowOff>36612</xdr:rowOff>
    </xdr:to>
    <xdr:sp macro="" textlink="">
      <xdr:nvSpPr>
        <xdr:cNvPr id="4" name="左大かっこ 3">
          <a:extLst>
            <a:ext uri="{FF2B5EF4-FFF2-40B4-BE49-F238E27FC236}">
              <a16:creationId xmlns:a16="http://schemas.microsoft.com/office/drawing/2014/main" id="{5F35940D-05CB-4E00-B225-85678DC393DF}"/>
            </a:ext>
          </a:extLst>
        </xdr:cNvPr>
        <xdr:cNvSpPr/>
      </xdr:nvSpPr>
      <xdr:spPr>
        <a:xfrm>
          <a:off x="3433932" y="33819612"/>
          <a:ext cx="119626" cy="15357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lstStyle/>
        <a:p>
          <a:endParaRPr/>
        </a:p>
      </xdr:txBody>
    </xdr:sp>
    <xdr:clientData/>
  </xdr:twoCellAnchor>
  <xdr:twoCellAnchor>
    <xdr:from>
      <xdr:col>68</xdr:col>
      <xdr:colOff>42509</xdr:colOff>
      <xdr:row>197</xdr:row>
      <xdr:rowOff>35123</xdr:rowOff>
    </xdr:from>
    <xdr:to>
      <xdr:col>69</xdr:col>
      <xdr:colOff>51253</xdr:colOff>
      <xdr:row>206</xdr:row>
      <xdr:rowOff>27980</xdr:rowOff>
    </xdr:to>
    <xdr:sp macro="" textlink="">
      <xdr:nvSpPr>
        <xdr:cNvPr id="5" name="左大かっこ 4">
          <a:extLst>
            <a:ext uri="{FF2B5EF4-FFF2-40B4-BE49-F238E27FC236}">
              <a16:creationId xmlns:a16="http://schemas.microsoft.com/office/drawing/2014/main" id="{5DFACD1A-1CB1-40E5-AE5F-9444D7570418}"/>
            </a:ext>
          </a:extLst>
        </xdr:cNvPr>
        <xdr:cNvSpPr/>
      </xdr:nvSpPr>
      <xdr:spPr>
        <a:xfrm flipH="1">
          <a:off x="6519497" y="33810820"/>
          <a:ext cx="104042" cy="15357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197290</xdr:colOff>
      <xdr:row>5</xdr:row>
      <xdr:rowOff>214908</xdr:rowOff>
    </xdr:from>
    <xdr:to>
      <xdr:col>31</xdr:col>
      <xdr:colOff>9572</xdr:colOff>
      <xdr:row>5</xdr:row>
      <xdr:rowOff>214908</xdr:rowOff>
    </xdr:to>
    <xdr:sp macro="" textlink="">
      <xdr:nvSpPr>
        <xdr:cNvPr id="2" name="Picture 4097">
          <a:extLst>
            <a:ext uri="{FF2B5EF4-FFF2-40B4-BE49-F238E27FC236}">
              <a16:creationId xmlns:a16="http://schemas.microsoft.com/office/drawing/2014/main" id="{63DC34AC-C076-4316-A31F-EC86DBDEA75C}"/>
            </a:ext>
          </a:extLst>
        </xdr:cNvPr>
        <xdr:cNvSpPr/>
      </xdr:nvSpPr>
      <xdr:spPr>
        <a:xfrm>
          <a:off x="197373" y="1358057"/>
          <a:ext cx="6012926"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twoCellAnchor>
    <xdr:from>
      <xdr:col>0</xdr:col>
      <xdr:colOff>197290</xdr:colOff>
      <xdr:row>5</xdr:row>
      <xdr:rowOff>214908</xdr:rowOff>
    </xdr:from>
    <xdr:to>
      <xdr:col>31</xdr:col>
      <xdr:colOff>9572</xdr:colOff>
      <xdr:row>5</xdr:row>
      <xdr:rowOff>214908</xdr:rowOff>
    </xdr:to>
    <xdr:sp macro="" textlink="">
      <xdr:nvSpPr>
        <xdr:cNvPr id="3" name="Picture 4097">
          <a:extLst>
            <a:ext uri="{FF2B5EF4-FFF2-40B4-BE49-F238E27FC236}">
              <a16:creationId xmlns:a16="http://schemas.microsoft.com/office/drawing/2014/main" id="{131334B3-458C-4DDF-A610-644601694AF1}"/>
            </a:ext>
          </a:extLst>
        </xdr:cNvPr>
        <xdr:cNvSpPr/>
      </xdr:nvSpPr>
      <xdr:spPr>
        <a:xfrm>
          <a:off x="197373" y="1358057"/>
          <a:ext cx="6012926"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twoCellAnchor>
    <xdr:from>
      <xdr:col>0</xdr:col>
      <xdr:colOff>197290</xdr:colOff>
      <xdr:row>5</xdr:row>
      <xdr:rowOff>214908</xdr:rowOff>
    </xdr:from>
    <xdr:to>
      <xdr:col>31</xdr:col>
      <xdr:colOff>9572</xdr:colOff>
      <xdr:row>5</xdr:row>
      <xdr:rowOff>214908</xdr:rowOff>
    </xdr:to>
    <xdr:sp macro="" textlink="">
      <xdr:nvSpPr>
        <xdr:cNvPr id="4" name="Picture 4097">
          <a:extLst>
            <a:ext uri="{FF2B5EF4-FFF2-40B4-BE49-F238E27FC236}">
              <a16:creationId xmlns:a16="http://schemas.microsoft.com/office/drawing/2014/main" id="{D73F4F88-3B93-41C3-B76F-69804B0A378D}"/>
            </a:ext>
          </a:extLst>
        </xdr:cNvPr>
        <xdr:cNvSpPr/>
      </xdr:nvSpPr>
      <xdr:spPr>
        <a:xfrm>
          <a:off x="197373" y="1358057"/>
          <a:ext cx="6012926"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twoCellAnchor>
    <xdr:from>
      <xdr:col>0</xdr:col>
      <xdr:colOff>197290</xdr:colOff>
      <xdr:row>5</xdr:row>
      <xdr:rowOff>214908</xdr:rowOff>
    </xdr:from>
    <xdr:to>
      <xdr:col>31</xdr:col>
      <xdr:colOff>9572</xdr:colOff>
      <xdr:row>5</xdr:row>
      <xdr:rowOff>214908</xdr:rowOff>
    </xdr:to>
    <xdr:sp macro="" textlink="">
      <xdr:nvSpPr>
        <xdr:cNvPr id="5" name="Picture 4097">
          <a:extLst>
            <a:ext uri="{FF2B5EF4-FFF2-40B4-BE49-F238E27FC236}">
              <a16:creationId xmlns:a16="http://schemas.microsoft.com/office/drawing/2014/main" id="{5C9A90C3-00CB-44B2-9B1D-98161568FA65}"/>
            </a:ext>
          </a:extLst>
        </xdr:cNvPr>
        <xdr:cNvSpPr/>
      </xdr:nvSpPr>
      <xdr:spPr>
        <a:xfrm>
          <a:off x="197373" y="1358057"/>
          <a:ext cx="6012926"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54499</xdr:colOff>
      <xdr:row>4</xdr:row>
      <xdr:rowOff>81707</xdr:rowOff>
    </xdr:from>
    <xdr:to>
      <xdr:col>31</xdr:col>
      <xdr:colOff>190453</xdr:colOff>
      <xdr:row>4</xdr:row>
      <xdr:rowOff>81707</xdr:rowOff>
    </xdr:to>
    <xdr:sp macro="" textlink="">
      <xdr:nvSpPr>
        <xdr:cNvPr id="5121" name="Picture 5121">
          <a:extLst>
            <a:ext uri="{FF2B5EF4-FFF2-40B4-BE49-F238E27FC236}">
              <a16:creationId xmlns:a16="http://schemas.microsoft.com/office/drawing/2014/main" id="{00000000-0008-0000-1800-000001140000}"/>
            </a:ext>
          </a:extLst>
        </xdr:cNvPr>
        <xdr:cNvSpPr/>
      </xdr:nvSpPr>
      <xdr:spPr>
        <a:xfrm>
          <a:off x="768803" y="11597367"/>
          <a:ext cx="6508297"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twoCellAnchor>
    <xdr:from>
      <xdr:col>2</xdr:col>
      <xdr:colOff>29887</xdr:colOff>
      <xdr:row>9</xdr:row>
      <xdr:rowOff>84386</xdr:rowOff>
    </xdr:from>
    <xdr:to>
      <xdr:col>31</xdr:col>
      <xdr:colOff>166036</xdr:colOff>
      <xdr:row>9</xdr:row>
      <xdr:rowOff>84386</xdr:rowOff>
    </xdr:to>
    <xdr:sp macro="" textlink="">
      <xdr:nvSpPr>
        <xdr:cNvPr id="5122" name="Picture 5122">
          <a:extLst>
            <a:ext uri="{FF2B5EF4-FFF2-40B4-BE49-F238E27FC236}">
              <a16:creationId xmlns:a16="http://schemas.microsoft.com/office/drawing/2014/main" id="{00000000-0008-0000-1800-000002140000}"/>
            </a:ext>
          </a:extLst>
        </xdr:cNvPr>
        <xdr:cNvSpPr/>
      </xdr:nvSpPr>
      <xdr:spPr>
        <a:xfrm>
          <a:off x="744310" y="12647839"/>
          <a:ext cx="6508297"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twoCellAnchor>
    <xdr:from>
      <xdr:col>2</xdr:col>
      <xdr:colOff>46295</xdr:colOff>
      <xdr:row>14</xdr:row>
      <xdr:rowOff>5358</xdr:rowOff>
    </xdr:from>
    <xdr:to>
      <xdr:col>31</xdr:col>
      <xdr:colOff>182249</xdr:colOff>
      <xdr:row>14</xdr:row>
      <xdr:rowOff>5358</xdr:rowOff>
    </xdr:to>
    <xdr:sp macro="" textlink="">
      <xdr:nvSpPr>
        <xdr:cNvPr id="5123" name="Picture 5123">
          <a:extLst>
            <a:ext uri="{FF2B5EF4-FFF2-40B4-BE49-F238E27FC236}">
              <a16:creationId xmlns:a16="http://schemas.microsoft.com/office/drawing/2014/main" id="{00000000-0008-0000-1800-000003140000}"/>
            </a:ext>
          </a:extLst>
        </xdr:cNvPr>
        <xdr:cNvSpPr/>
      </xdr:nvSpPr>
      <xdr:spPr>
        <a:xfrm>
          <a:off x="760638" y="13616667"/>
          <a:ext cx="6508297"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O39"/>
  <sheetViews>
    <sheetView workbookViewId="0">
      <pane xSplit="1" ySplit="2" topLeftCell="B3" activePane="bottomRight" state="frozen"/>
      <selection pane="topRight"/>
      <selection pane="bottomLeft"/>
      <selection pane="bottomRight" activeCell="F26" sqref="F26"/>
    </sheetView>
  </sheetViews>
  <sheetFormatPr defaultColWidth="9" defaultRowHeight="14.25" customHeight="1"/>
  <cols>
    <col min="1" max="1" width="28.25" style="12" customWidth="1"/>
    <col min="2" max="2" width="23.375" style="12" customWidth="1"/>
    <col min="3" max="3" width="16.75" style="12" customWidth="1"/>
    <col min="4" max="5" width="3.625" style="10" customWidth="1"/>
    <col min="6" max="10" width="10.625" style="10" customWidth="1"/>
    <col min="11" max="11" width="14.875" style="10" customWidth="1"/>
    <col min="12" max="13" width="10.625" style="10" customWidth="1"/>
    <col min="14" max="14" width="9" style="10" customWidth="1"/>
    <col min="15" max="16384" width="9" style="10"/>
  </cols>
  <sheetData>
    <row r="1" spans="1:15" ht="63.75" customHeight="1">
      <c r="A1" s="11" t="s">
        <v>482</v>
      </c>
      <c r="B1" s="11" t="s">
        <v>485</v>
      </c>
      <c r="C1" s="11" t="s">
        <v>484</v>
      </c>
      <c r="D1" s="498" t="s">
        <v>2492</v>
      </c>
      <c r="E1" s="498"/>
      <c r="F1" s="204" t="s">
        <v>2491</v>
      </c>
      <c r="G1" s="10" t="s">
        <v>639</v>
      </c>
      <c r="H1" s="10" t="s">
        <v>3170</v>
      </c>
      <c r="I1" s="10" t="s">
        <v>117</v>
      </c>
      <c r="J1" s="10" t="s">
        <v>3085</v>
      </c>
      <c r="K1" s="10" t="s">
        <v>3037</v>
      </c>
      <c r="L1" s="10" t="s">
        <v>2843</v>
      </c>
      <c r="M1" s="10" t="s">
        <v>3030</v>
      </c>
      <c r="N1" s="10" t="s">
        <v>3086</v>
      </c>
      <c r="O1" s="10" t="s">
        <v>2842</v>
      </c>
    </row>
    <row r="2" spans="1:15" ht="14.25" customHeight="1">
      <c r="G2" s="204">
        <f t="shared" ref="G2:M2" si="0">IF(cst__output_sheetname=G1, 1, 0)</f>
        <v>0</v>
      </c>
      <c r="H2" s="204">
        <f t="shared" si="0"/>
        <v>1</v>
      </c>
      <c r="I2" s="204">
        <f>IF(cst__output_sheetname=I1, 1, 0)</f>
        <v>0</v>
      </c>
      <c r="J2" s="204">
        <f>IF(cst__output_sheetname=J1, 1, 0)</f>
        <v>0</v>
      </c>
      <c r="K2" s="204">
        <f t="shared" ref="K2" si="1">IF(cst__output_sheetname=K1, 1, 0)</f>
        <v>0</v>
      </c>
      <c r="L2" s="204">
        <f t="shared" si="0"/>
        <v>0</v>
      </c>
      <c r="M2" s="204">
        <f t="shared" si="0"/>
        <v>0</v>
      </c>
      <c r="N2" s="204">
        <f t="shared" ref="N2:O2" si="2">IF(cst__output_sheetname=N1, 1, 0)</f>
        <v>0</v>
      </c>
      <c r="O2" s="204">
        <f t="shared" si="2"/>
        <v>0</v>
      </c>
    </row>
    <row r="4" spans="1:15" ht="14.25" customHeight="1">
      <c r="A4" s="12" t="s">
        <v>2508</v>
      </c>
      <c r="B4" s="12">
        <v>-1</v>
      </c>
      <c r="C4" s="12">
        <v>-1</v>
      </c>
    </row>
    <row r="5" spans="1:15" ht="14.25" customHeight="1">
      <c r="A5" s="12" t="s">
        <v>486</v>
      </c>
      <c r="B5" s="12">
        <v>-1</v>
      </c>
      <c r="C5" s="12">
        <v>-1</v>
      </c>
    </row>
    <row r="6" spans="1:15" ht="14.25" customHeight="1">
      <c r="A6" s="12" t="s">
        <v>487</v>
      </c>
      <c r="B6" s="12">
        <v>-1</v>
      </c>
      <c r="C6" s="12">
        <v>-1</v>
      </c>
    </row>
    <row r="7" spans="1:15" ht="14.25" customHeight="1">
      <c r="A7" s="12" t="s">
        <v>1305</v>
      </c>
      <c r="B7" s="12">
        <v>-1</v>
      </c>
      <c r="C7" s="12">
        <v>-1</v>
      </c>
    </row>
    <row r="8" spans="1:15" ht="14.25" customHeight="1">
      <c r="A8" s="12" t="s">
        <v>488</v>
      </c>
      <c r="B8" s="12">
        <v>-1</v>
      </c>
      <c r="C8" s="12">
        <v>-1</v>
      </c>
    </row>
    <row r="9" spans="1:15" ht="14.25" customHeight="1">
      <c r="A9" s="12" t="s">
        <v>3039</v>
      </c>
      <c r="B9" s="12">
        <v>-1</v>
      </c>
      <c r="C9" s="12">
        <v>-1</v>
      </c>
    </row>
    <row r="10" spans="1:15" ht="14.25" customHeight="1">
      <c r="A10" s="12" t="s">
        <v>635</v>
      </c>
      <c r="B10" s="66"/>
    </row>
    <row r="12" spans="1:15" ht="14.25" customHeight="1">
      <c r="A12" s="12" t="s">
        <v>463</v>
      </c>
      <c r="B12" s="12">
        <f t="shared" ref="B12" ca="1" si="3">D12</f>
        <v>1</v>
      </c>
      <c r="D12" s="10">
        <f ca="1">IF(F12&lt;&gt;"",IF(F12=1,IF(F12+E12=2,1,-2),F12),IF(E12=0,-2,E12))</f>
        <v>1</v>
      </c>
      <c r="E12" s="10">
        <f t="shared" ref="E12:E35" si="4">IF(cst__output_sheetname="", 1, 0)+IF(AND(H12=1,H$2=1), 1, 0)+IF(AND(I12=1,I$2=1), 1, 0)+IF(AND(G12=1,G$2=1), 1, 0)+IF(AND(J12=1,J$2=1), 1, 0)+IF(AND(K12=1,K$2=1), 1, 0)+IF(AND(L12=1,L$2=1), 1, 0)+IF(AND(M12=1,M$2=1), 1, 0)+IF(AND(N12=1,N$2=1), 1, 0)+IF(AND(O12=1,O$2=1), 1, 0)</f>
        <v>1</v>
      </c>
      <c r="F12" s="204">
        <f ca="1">IF(F29=1,-2,1)</f>
        <v>1</v>
      </c>
      <c r="G12" s="10">
        <v>1</v>
      </c>
      <c r="H12" s="10">
        <v>1</v>
      </c>
      <c r="I12" s="10">
        <v>1</v>
      </c>
      <c r="J12" s="10">
        <v>1</v>
      </c>
      <c r="K12" s="10">
        <v>1</v>
      </c>
      <c r="L12" s="10">
        <v>1</v>
      </c>
      <c r="M12" s="10">
        <v>1</v>
      </c>
      <c r="N12" s="10">
        <v>1</v>
      </c>
      <c r="O12" s="10">
        <v>1</v>
      </c>
    </row>
    <row r="13" spans="1:15" ht="14.25" customHeight="1">
      <c r="B13" s="12">
        <f t="shared" ref="B13" si="5">D13</f>
        <v>-2</v>
      </c>
      <c r="D13" s="10">
        <f t="shared" ref="D13:D35" si="6">IF(F13&lt;&gt;"",IF(F13=1,IF(F13+E13=2,1,-2),F13),IF(E13=0,-2,E13))</f>
        <v>-2</v>
      </c>
      <c r="E13" s="10">
        <f t="shared" si="4"/>
        <v>0</v>
      </c>
    </row>
    <row r="14" spans="1:15" ht="14.25" customHeight="1">
      <c r="D14" s="10">
        <f t="shared" si="6"/>
        <v>-2</v>
      </c>
      <c r="E14" s="10">
        <f t="shared" si="4"/>
        <v>0</v>
      </c>
    </row>
    <row r="15" spans="1:15" ht="14.25" customHeight="1">
      <c r="A15" s="12" t="s">
        <v>117</v>
      </c>
      <c r="B15" s="12">
        <f ca="1">D15</f>
        <v>-2</v>
      </c>
      <c r="D15" s="10">
        <f ca="1">IF(F15&lt;&gt;"",IF(F15=1,IF(F15+E15=2,1,-2),F15),IF(E15=0,-2,E15))</f>
        <v>-2</v>
      </c>
      <c r="E15" s="10">
        <f t="shared" si="4"/>
        <v>0</v>
      </c>
      <c r="F15" s="204">
        <f ca="1">IF(cst_wsjob_TARGET_KIND="建築物",IF(cst_wsjob_JOB_KIND="確認申請",1,-2),-2)</f>
        <v>-2</v>
      </c>
      <c r="I15" s="10">
        <v>1</v>
      </c>
    </row>
    <row r="16" spans="1:15" ht="14.25" customHeight="1">
      <c r="A16" s="12" t="s">
        <v>639</v>
      </c>
      <c r="B16" s="12">
        <f>D16</f>
        <v>-2</v>
      </c>
      <c r="D16" s="10">
        <f t="shared" si="6"/>
        <v>-2</v>
      </c>
      <c r="E16" s="10">
        <f t="shared" si="4"/>
        <v>0</v>
      </c>
      <c r="G16" s="10">
        <v>1</v>
      </c>
    </row>
    <row r="17" spans="1:15" ht="14.25" customHeight="1">
      <c r="A17" s="12" t="s">
        <v>3170</v>
      </c>
      <c r="B17" s="12">
        <f ca="1">D17</f>
        <v>1</v>
      </c>
      <c r="D17" s="10">
        <f t="shared" ref="D17" ca="1" si="7">IF(F17&lt;&gt;"",IF(F17=1,IF(F17+E17=2,1,-2),F17),IF(E17=0,-2,E17))</f>
        <v>1</v>
      </c>
      <c r="E17" s="10">
        <f t="shared" si="4"/>
        <v>1</v>
      </c>
      <c r="F17" s="204">
        <f ca="1">IF(OR(cst_wsjob_JOB_KIND="その他申請",cst_wsjob_JOB_KIND="中間検査",cst_wsjob_JOB_KIND="完了検査"),1,-2)</f>
        <v>1</v>
      </c>
      <c r="H17" s="10">
        <v>1</v>
      </c>
    </row>
    <row r="18" spans="1:15" ht="14.25" customHeight="1">
      <c r="A18" s="12" t="s">
        <v>3085</v>
      </c>
      <c r="B18" s="12">
        <f ca="1">D18</f>
        <v>-2</v>
      </c>
      <c r="D18" s="10">
        <f t="shared" ref="D18" ca="1" si="8">IF(F18&lt;&gt;"",IF(F18=1,IF(F18+E18=2,1,-2),F18),IF(E18=0,-2,E18))</f>
        <v>-2</v>
      </c>
      <c r="E18" s="10">
        <f t="shared" si="4"/>
        <v>0</v>
      </c>
      <c r="F18" s="204">
        <f ca="1">IF(cst_wsjob_TARGET_KIND="建築物",IF(OR(cst_wsjob_JOB_KIND="確認申請",cst_wsjob_JOB_KIND="計画変更"),1,-2),-2)</f>
        <v>-2</v>
      </c>
      <c r="J18" s="10">
        <v>1</v>
      </c>
    </row>
    <row r="19" spans="1:15" ht="14.25" customHeight="1">
      <c r="A19" s="12" t="s">
        <v>3037</v>
      </c>
      <c r="B19" s="12">
        <f>D19</f>
        <v>-2</v>
      </c>
      <c r="D19" s="10">
        <f t="shared" ref="D19" si="9">IF(F19&lt;&gt;"",IF(F19=1,IF(F19+E19=2,1,-2),F19),IF(E19=0,-2,E19))</f>
        <v>-2</v>
      </c>
      <c r="E19" s="10">
        <f t="shared" si="4"/>
        <v>0</v>
      </c>
      <c r="F19" s="204">
        <f>IF(cst_wskakunin_BUILD_KEN__ken="静岡県",IF(cst_wsjob_TARGET_KIND="建築物",IF(OR(cst_wsjob_JOB_KIND="確認申請",cst_wsjob_JOB_KIND="計画変更"),1,-2),-2),-2)</f>
        <v>-2</v>
      </c>
      <c r="K19" s="10">
        <v>1</v>
      </c>
    </row>
    <row r="20" spans="1:15" ht="14.25" customHeight="1">
      <c r="A20" s="12" t="s">
        <v>2842</v>
      </c>
      <c r="B20" s="12">
        <f t="shared" ref="B20:B29" ca="1" si="10">D20</f>
        <v>-2</v>
      </c>
      <c r="D20" s="10">
        <f t="shared" ca="1" si="6"/>
        <v>-2</v>
      </c>
      <c r="E20" s="10">
        <f t="shared" si="4"/>
        <v>0</v>
      </c>
      <c r="F20" s="204">
        <f ca="1">IF(OR(cst_wsjob_JOB_KIND="確認申請",cst_wsjob_JOB_KIND="計画変更"),1,-2)</f>
        <v>-2</v>
      </c>
      <c r="O20" s="10">
        <v>1</v>
      </c>
    </row>
    <row r="21" spans="1:15" ht="14.25" customHeight="1">
      <c r="A21" s="12" t="s">
        <v>2843</v>
      </c>
      <c r="B21" s="12">
        <f t="shared" ca="1" si="10"/>
        <v>-2</v>
      </c>
      <c r="D21" s="10">
        <f t="shared" ca="1" si="6"/>
        <v>-2</v>
      </c>
      <c r="E21" s="10">
        <f t="shared" si="4"/>
        <v>0</v>
      </c>
      <c r="F21" s="204">
        <f ca="1">IF(OR(cst_wsjob_JOB_KIND="確認申請",cst_wsjob_JOB_KIND="計画変更"),1,-2)</f>
        <v>-2</v>
      </c>
      <c r="L21" s="10">
        <v>1</v>
      </c>
    </row>
    <row r="22" spans="1:15" ht="14.25" customHeight="1">
      <c r="A22" s="12" t="s">
        <v>3030</v>
      </c>
      <c r="B22" s="12">
        <f t="shared" ca="1" si="10"/>
        <v>-2</v>
      </c>
      <c r="D22" s="10">
        <f t="shared" ca="1" si="6"/>
        <v>-2</v>
      </c>
      <c r="E22" s="10">
        <f t="shared" si="4"/>
        <v>0</v>
      </c>
      <c r="F22" s="204">
        <f ca="1">IF(OR(cst_wsjob_JOB_KIND="中間検査",cst_wsjob_JOB_KIND="完了検査"),1,-2)</f>
        <v>1</v>
      </c>
      <c r="M22" s="10">
        <v>1</v>
      </c>
    </row>
    <row r="23" spans="1:15" ht="14.25" customHeight="1">
      <c r="A23" s="12" t="s">
        <v>2844</v>
      </c>
      <c r="B23" s="12">
        <f t="shared" ca="1" si="10"/>
        <v>-2</v>
      </c>
      <c r="D23" s="10">
        <f t="shared" ca="1" si="6"/>
        <v>-2</v>
      </c>
      <c r="E23" s="10">
        <f t="shared" si="4"/>
        <v>0</v>
      </c>
      <c r="F23" s="204">
        <f ca="1">IF(OR(cst_wsjob_JOB_KIND="確認申請",cst_wsjob_JOB_KIND="計画変更"),1,-2)</f>
        <v>-2</v>
      </c>
      <c r="N23" s="10">
        <v>1</v>
      </c>
    </row>
    <row r="24" spans="1:15" ht="14.25" customHeight="1">
      <c r="A24" s="12" t="s">
        <v>2845</v>
      </c>
      <c r="B24" s="12">
        <f t="shared" ca="1" si="10"/>
        <v>-2</v>
      </c>
      <c r="D24" s="10">
        <f t="shared" ca="1" si="6"/>
        <v>-2</v>
      </c>
      <c r="E24" s="10">
        <f t="shared" si="4"/>
        <v>0</v>
      </c>
      <c r="F24" s="204">
        <f ca="1">IF(cst_wsjob_JOB_KIND="中間検査",1,-2)</f>
        <v>1</v>
      </c>
      <c r="N24" s="10">
        <v>1</v>
      </c>
    </row>
    <row r="25" spans="1:15" ht="14.25" customHeight="1">
      <c r="A25" s="12" t="s">
        <v>2846</v>
      </c>
      <c r="B25" s="12">
        <f t="shared" ca="1" si="10"/>
        <v>-2</v>
      </c>
      <c r="D25" s="10">
        <f t="shared" ca="1" si="6"/>
        <v>-2</v>
      </c>
      <c r="E25" s="10">
        <f t="shared" si="4"/>
        <v>0</v>
      </c>
      <c r="F25" s="204">
        <f ca="1">IF(cst_wsjob_JOB_KIND="完了検査",1,-2)</f>
        <v>-2</v>
      </c>
      <c r="N25" s="10">
        <v>1</v>
      </c>
    </row>
    <row r="26" spans="1:15" ht="14.25" customHeight="1">
      <c r="A26" s="12" t="s">
        <v>3191</v>
      </c>
      <c r="B26" s="12">
        <f ca="1">D26</f>
        <v>-2</v>
      </c>
      <c r="D26" s="10">
        <f t="shared" ref="D26" ca="1" si="11">IF(F26&lt;&gt;"",IF(F26=1,IF(F26+E26=2,1,-2),F26),IF(E26=0,-2,E26))</f>
        <v>-2</v>
      </c>
      <c r="E26" s="10">
        <f t="shared" si="4"/>
        <v>0</v>
      </c>
      <c r="F26" s="204">
        <f ca="1">IF(AND(cst_wsjob_JOB_KIND="その他申請"),1,-2)</f>
        <v>-2</v>
      </c>
      <c r="N26" s="10">
        <v>1</v>
      </c>
    </row>
    <row r="27" spans="1:15" ht="14.25" customHeight="1">
      <c r="A27" s="12" t="s">
        <v>3241</v>
      </c>
      <c r="B27" s="12">
        <f ca="1">D27</f>
        <v>-2</v>
      </c>
      <c r="D27" s="10">
        <f t="shared" ref="D27" ca="1" si="12">IF(F27&lt;&gt;"",IF(F27=1,IF(F27+E27=2,1,-2),F27),IF(E27=0,-2,E27))</f>
        <v>-2</v>
      </c>
      <c r="E27" s="10">
        <f t="shared" ref="E27" si="13">IF(cst__output_sheetname="", 1, 0)+IF(AND(H27=1,H$2=1), 1, 0)+IF(AND(I27=1,I$2=1), 1, 0)+IF(AND(G27=1,G$2=1), 1, 0)+IF(AND(J27=1,J$2=1), 1, 0)+IF(AND(K27=1,K$2=1), 1, 0)+IF(AND(L27=1,L$2=1), 1, 0)+IF(AND(M27=1,M$2=1), 1, 0)+IF(AND(N27=1,N$2=1), 1, 0)+IF(AND(O27=1,O$2=1), 1, 0)</f>
        <v>0</v>
      </c>
      <c r="F27" s="487">
        <f ca="1">IF(F29=1,-2,IF(cst_wskakunin_owner2__space&lt;&gt;"",1,-2))</f>
        <v>-2</v>
      </c>
      <c r="I27" s="10">
        <v>1</v>
      </c>
    </row>
    <row r="28" spans="1:15" ht="14.25" customHeight="1">
      <c r="A28" s="12" t="s">
        <v>3208</v>
      </c>
      <c r="B28" s="12">
        <f ca="1">D28</f>
        <v>-2</v>
      </c>
      <c r="D28" s="10">
        <f t="shared" ref="D28" ca="1" si="14">IF(F28&lt;&gt;"",IF(F28=1,IF(F28+E28=2,1,-2),F28),IF(E28=0,-2,E28))</f>
        <v>-2</v>
      </c>
      <c r="E28" s="10">
        <f t="shared" ref="E28" si="15">IF(cst__output_sheetname="", 1, 0)+IF(AND(H28=1,H$2=1), 1, 0)+IF(AND(I28=1,I$2=1), 1, 0)+IF(AND(G28=1,G$2=1), 1, 0)+IF(AND(J28=1,J$2=1), 1, 0)+IF(AND(K28=1,K$2=1), 1, 0)+IF(AND(L28=1,L$2=1), 1, 0)+IF(AND(M28=1,M$2=1), 1, 0)+IF(AND(N28=1,N$2=1), 1, 0)+IF(AND(O28=1,O$2=1), 1, 0)</f>
        <v>0</v>
      </c>
      <c r="F28" s="487">
        <f ca="1">IF(F29=1,-2,IF(cst_wskakunin_owner2__space&lt;&gt;"",1,-2))</f>
        <v>-2</v>
      </c>
      <c r="J28" s="10">
        <v>1</v>
      </c>
      <c r="L28" s="10">
        <v>1</v>
      </c>
      <c r="M28" s="10">
        <v>1</v>
      </c>
      <c r="N28" s="10">
        <v>1</v>
      </c>
      <c r="O28" s="10">
        <v>1</v>
      </c>
    </row>
    <row r="29" spans="1:15" ht="14.25" customHeight="1">
      <c r="A29" s="12" t="s">
        <v>3166</v>
      </c>
      <c r="B29" s="12">
        <f t="shared" ca="1" si="10"/>
        <v>-2</v>
      </c>
      <c r="D29" s="10">
        <f t="shared" ref="D29" ca="1" si="16">IF(F29&lt;&gt;"",IF(F29=1,IF(F29+E29=2,1,-2),F29),IF(E29=0,-2,E29))</f>
        <v>-2</v>
      </c>
      <c r="E29" s="10">
        <f t="shared" si="4"/>
        <v>1</v>
      </c>
      <c r="F29" s="468">
        <f ca="1">IF(COUNTIF(B15:B26,1)&gt;0,-2,1)</f>
        <v>-2</v>
      </c>
      <c r="G29" s="10">
        <v>1</v>
      </c>
      <c r="H29" s="10">
        <v>1</v>
      </c>
      <c r="I29" s="10">
        <v>1</v>
      </c>
      <c r="J29" s="10">
        <v>1</v>
      </c>
      <c r="K29" s="10">
        <v>1</v>
      </c>
      <c r="L29" s="10">
        <v>1</v>
      </c>
      <c r="M29" s="10">
        <v>1</v>
      </c>
      <c r="N29" s="10">
        <v>1</v>
      </c>
      <c r="O29" s="10">
        <v>1</v>
      </c>
    </row>
    <row r="30" spans="1:15" ht="14.25" customHeight="1">
      <c r="A30" s="12" t="s">
        <v>591</v>
      </c>
      <c r="B30" s="12">
        <f t="shared" ref="B30:B35" si="17">D30</f>
        <v>-2</v>
      </c>
      <c r="D30" s="10">
        <f t="shared" si="6"/>
        <v>-2</v>
      </c>
      <c r="E30" s="10">
        <f t="shared" si="4"/>
        <v>0</v>
      </c>
      <c r="F30" s="10">
        <v>-2</v>
      </c>
    </row>
    <row r="31" spans="1:15" ht="14.25" customHeight="1">
      <c r="A31" s="12" t="s">
        <v>592</v>
      </c>
      <c r="B31" s="12">
        <f t="shared" si="17"/>
        <v>-2</v>
      </c>
      <c r="D31" s="10">
        <f t="shared" si="6"/>
        <v>-2</v>
      </c>
      <c r="E31" s="10">
        <f t="shared" si="4"/>
        <v>0</v>
      </c>
      <c r="F31" s="10">
        <v>-2</v>
      </c>
    </row>
    <row r="32" spans="1:15" ht="14.25" customHeight="1">
      <c r="A32" s="12" t="s">
        <v>2930</v>
      </c>
      <c r="B32" s="12">
        <f t="shared" ref="B32" si="18">D32</f>
        <v>-2</v>
      </c>
      <c r="D32" s="10">
        <f t="shared" ref="D32" si="19">IF(F32&lt;&gt;"",IF(F32=1,IF(F32+E32=2,1,-2),F32),IF(E32=0,-2,E32))</f>
        <v>-2</v>
      </c>
      <c r="E32" s="10">
        <f t="shared" si="4"/>
        <v>0</v>
      </c>
      <c r="F32" s="10">
        <v>-2</v>
      </c>
    </row>
    <row r="33" spans="1:5" ht="14.25" customHeight="1">
      <c r="B33" s="12">
        <f t="shared" si="17"/>
        <v>-2</v>
      </c>
      <c r="D33" s="10">
        <f t="shared" si="6"/>
        <v>-2</v>
      </c>
      <c r="E33" s="10">
        <f t="shared" si="4"/>
        <v>0</v>
      </c>
    </row>
    <row r="34" spans="1:5" ht="14.25" customHeight="1">
      <c r="B34" s="12">
        <f t="shared" ref="B34" si="20">D34</f>
        <v>-2</v>
      </c>
      <c r="D34" s="10">
        <f t="shared" si="6"/>
        <v>-2</v>
      </c>
      <c r="E34" s="10">
        <f t="shared" si="4"/>
        <v>0</v>
      </c>
    </row>
    <row r="35" spans="1:5" ht="14.25" customHeight="1">
      <c r="B35" s="12">
        <f t="shared" si="17"/>
        <v>-2</v>
      </c>
      <c r="D35" s="10">
        <f t="shared" si="6"/>
        <v>-2</v>
      </c>
      <c r="E35" s="10">
        <f t="shared" si="4"/>
        <v>0</v>
      </c>
    </row>
    <row r="36" spans="1:5" ht="14.25" customHeight="1">
      <c r="A36" s="65" t="s">
        <v>489</v>
      </c>
      <c r="B36" s="12">
        <v>0</v>
      </c>
    </row>
    <row r="38" spans="1:5" ht="14.25" customHeight="1">
      <c r="A38" s="13" t="s">
        <v>483</v>
      </c>
    </row>
    <row r="39" spans="1:5" ht="14.25" customHeight="1">
      <c r="A39" s="13" t="s">
        <v>490</v>
      </c>
    </row>
  </sheetData>
  <mergeCells count="1">
    <mergeCell ref="D1:E1"/>
  </mergeCells>
  <phoneticPr fontId="57"/>
  <pageMargins left="0.78700000000000003" right="0.78700000000000003" top="0.98399999999999999" bottom="0.98399999999999999" header="0.51200000000000001" footer="0.5120000000000000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zoomScale="90" zoomScaleNormal="90" workbookViewId="0"/>
  </sheetViews>
  <sheetFormatPr defaultColWidth="3.625" defaultRowHeight="12.75"/>
  <cols>
    <col min="1" max="22" width="3.75" style="278" customWidth="1"/>
    <col min="23" max="46" width="3.625" style="278" customWidth="1"/>
    <col min="47" max="47" width="10.375" style="278" hidden="1" customWidth="1"/>
    <col min="48" max="48" width="38.25" style="278" hidden="1" customWidth="1"/>
    <col min="49" max="51" width="10.375" style="278" hidden="1" customWidth="1"/>
    <col min="52" max="52" width="3.625" style="278" customWidth="1"/>
    <col min="53" max="16384" width="3.625" style="278"/>
  </cols>
  <sheetData>
    <row r="1" spans="1:22" ht="18.75">
      <c r="A1" s="504" t="s">
        <v>2951</v>
      </c>
      <c r="B1" s="504"/>
      <c r="C1" s="504"/>
      <c r="D1" s="504"/>
      <c r="E1" s="504"/>
      <c r="F1" s="504"/>
      <c r="G1" s="504"/>
      <c r="H1" s="504"/>
      <c r="I1" s="504"/>
      <c r="J1" s="504"/>
      <c r="K1" s="504"/>
      <c r="L1" s="504"/>
      <c r="M1" s="504"/>
      <c r="N1" s="504"/>
      <c r="O1" s="504"/>
      <c r="P1" s="504"/>
      <c r="Q1" s="504"/>
      <c r="R1" s="504"/>
      <c r="S1" s="504"/>
      <c r="T1" s="504"/>
      <c r="U1" s="504"/>
      <c r="V1" s="504"/>
    </row>
    <row r="2" spans="1:22" s="334" customFormat="1" ht="19.5" customHeight="1"/>
    <row r="3" spans="1:22" s="334" customFormat="1" ht="19.5" customHeight="1">
      <c r="A3" s="335" t="s">
        <v>2950</v>
      </c>
    </row>
    <row r="4" spans="1:22" s="334" customFormat="1" ht="19.5" customHeight="1">
      <c r="B4" s="335" t="s">
        <v>2936</v>
      </c>
      <c r="E4" s="503" t="str">
        <f>cst_wskakunin_dairi1_NAME</f>
        <v>木村　賢</v>
      </c>
      <c r="F4" s="503"/>
      <c r="G4" s="503"/>
      <c r="H4" s="503"/>
      <c r="I4" s="503"/>
      <c r="J4" s="503"/>
      <c r="K4" s="503"/>
      <c r="L4" s="503"/>
      <c r="M4" s="503"/>
      <c r="N4" s="503"/>
      <c r="O4" s="503"/>
      <c r="P4" s="503"/>
      <c r="Q4" s="503"/>
      <c r="R4" s="503"/>
      <c r="S4" s="503"/>
      <c r="T4" s="503"/>
      <c r="U4" s="503"/>
    </row>
    <row r="5" spans="1:22" s="334" customFormat="1" ht="19.5" customHeight="1">
      <c r="E5" s="503"/>
      <c r="F5" s="503"/>
      <c r="G5" s="503"/>
      <c r="H5" s="503"/>
      <c r="I5" s="503"/>
      <c r="J5" s="503"/>
      <c r="K5" s="503"/>
      <c r="L5" s="503"/>
      <c r="M5" s="503"/>
      <c r="N5" s="503"/>
      <c r="O5" s="503"/>
      <c r="P5" s="503"/>
      <c r="Q5" s="503"/>
      <c r="R5" s="503"/>
      <c r="S5" s="503"/>
      <c r="T5" s="503"/>
      <c r="U5" s="503"/>
    </row>
    <row r="6" spans="1:22" s="334" customFormat="1" ht="19.5" customHeight="1">
      <c r="B6" s="335" t="s">
        <v>2949</v>
      </c>
      <c r="E6" s="503" t="str">
        <f>cst_wskakunin_dairi1_JIMU_NAME</f>
        <v>株式会社山田工務店　一級建築士事務所</v>
      </c>
      <c r="F6" s="503"/>
      <c r="G6" s="503"/>
      <c r="H6" s="503"/>
      <c r="I6" s="503"/>
      <c r="J6" s="503"/>
      <c r="K6" s="503"/>
      <c r="L6" s="503"/>
      <c r="M6" s="503"/>
      <c r="N6" s="503"/>
      <c r="O6" s="503"/>
      <c r="P6" s="503"/>
      <c r="Q6" s="503"/>
      <c r="R6" s="503"/>
      <c r="S6" s="503"/>
      <c r="T6" s="503"/>
      <c r="U6" s="503"/>
    </row>
    <row r="7" spans="1:22" s="334" customFormat="1" ht="19.5" customHeight="1">
      <c r="E7" s="503"/>
      <c r="F7" s="503"/>
      <c r="G7" s="503"/>
      <c r="H7" s="503"/>
      <c r="I7" s="503"/>
      <c r="J7" s="503"/>
      <c r="K7" s="503"/>
      <c r="L7" s="503"/>
      <c r="M7" s="503"/>
      <c r="N7" s="503"/>
      <c r="O7" s="503"/>
      <c r="P7" s="503"/>
      <c r="Q7" s="503"/>
      <c r="R7" s="503"/>
      <c r="S7" s="503"/>
      <c r="T7" s="503"/>
      <c r="U7" s="503"/>
    </row>
    <row r="8" spans="1:22" s="334" customFormat="1" ht="19.5" customHeight="1">
      <c r="B8" s="334" t="s">
        <v>2935</v>
      </c>
      <c r="E8" s="505" t="str">
        <f>cst_wskakunin_dairi1_ZIP</f>
        <v>425-0074</v>
      </c>
      <c r="F8" s="505"/>
      <c r="G8" s="505"/>
      <c r="H8" s="505"/>
    </row>
    <row r="9" spans="1:22" s="334" customFormat="1" ht="2.25" customHeight="1"/>
    <row r="10" spans="1:22" s="334" customFormat="1" ht="19.5" customHeight="1">
      <c r="B10" s="335" t="s">
        <v>2934</v>
      </c>
      <c r="E10" s="503" t="str">
        <f>cst_wskakunin_dairi1__address</f>
        <v>静岡県焼津市柳新屋648-2</v>
      </c>
      <c r="F10" s="503"/>
      <c r="G10" s="503"/>
      <c r="H10" s="503"/>
      <c r="I10" s="503"/>
      <c r="J10" s="503"/>
      <c r="K10" s="503"/>
      <c r="L10" s="503"/>
      <c r="M10" s="503"/>
      <c r="N10" s="503"/>
      <c r="O10" s="503"/>
      <c r="P10" s="503"/>
      <c r="Q10" s="503"/>
      <c r="R10" s="503"/>
      <c r="S10" s="503"/>
      <c r="T10" s="503"/>
      <c r="U10" s="503"/>
    </row>
    <row r="11" spans="1:22" s="334" customFormat="1" ht="19.5" customHeight="1">
      <c r="E11" s="503"/>
      <c r="F11" s="503"/>
      <c r="G11" s="503"/>
      <c r="H11" s="503"/>
      <c r="I11" s="503"/>
      <c r="J11" s="503"/>
      <c r="K11" s="503"/>
      <c r="L11" s="503"/>
      <c r="M11" s="503"/>
      <c r="N11" s="503"/>
      <c r="O11" s="503"/>
      <c r="P11" s="503"/>
      <c r="Q11" s="503"/>
      <c r="R11" s="503"/>
      <c r="S11" s="503"/>
      <c r="T11" s="503"/>
      <c r="U11" s="503"/>
    </row>
    <row r="12" spans="1:22" s="334" customFormat="1" ht="19.5" customHeight="1">
      <c r="B12" s="335" t="s">
        <v>2933</v>
      </c>
      <c r="E12" s="503" t="str">
        <f>cst_wskakunin_dairi1_TEL</f>
        <v>054-621-5656</v>
      </c>
      <c r="F12" s="503"/>
      <c r="G12" s="503"/>
      <c r="H12" s="503"/>
      <c r="I12" s="503"/>
      <c r="J12" s="503"/>
    </row>
    <row r="13" spans="1:22" s="334" customFormat="1" ht="19.5" customHeight="1"/>
    <row r="14" spans="1:22" s="334" customFormat="1" ht="19.5" customHeight="1">
      <c r="A14" s="334" t="s">
        <v>2948</v>
      </c>
    </row>
    <row r="15" spans="1:22" s="334" customFormat="1" ht="19.5" customHeight="1"/>
    <row r="16" spans="1:22" ht="19.5" customHeight="1">
      <c r="A16" s="513" t="s">
        <v>0</v>
      </c>
      <c r="B16" s="513"/>
      <c r="C16" s="513"/>
      <c r="D16" s="513"/>
      <c r="E16" s="513"/>
      <c r="F16" s="513"/>
      <c r="G16" s="513"/>
      <c r="H16" s="513"/>
      <c r="I16" s="513"/>
      <c r="J16" s="513"/>
      <c r="K16" s="513"/>
      <c r="L16" s="513"/>
      <c r="M16" s="513"/>
      <c r="N16" s="513"/>
      <c r="O16" s="513"/>
      <c r="P16" s="513"/>
      <c r="Q16" s="513"/>
      <c r="R16" s="513"/>
      <c r="S16" s="513"/>
      <c r="T16" s="513"/>
      <c r="U16" s="513"/>
      <c r="V16" s="513"/>
    </row>
    <row r="17" spans="1:51" s="334" customFormat="1" ht="19.5" customHeight="1">
      <c r="A17" s="334" t="s">
        <v>2947</v>
      </c>
    </row>
    <row r="18" spans="1:51" s="334" customFormat="1" ht="19.5" customHeight="1">
      <c r="E18" s="437" t="str">
        <f ca="1">IF(OR(cst_wsjob_JOB_KIND="確認申請",cst_wsjob_JOB_KIND="計画変更"),"■","□")</f>
        <v>□</v>
      </c>
      <c r="F18" s="334" t="s">
        <v>2946</v>
      </c>
    </row>
    <row r="19" spans="1:51" s="334" customFormat="1" ht="19.5" customHeight="1">
      <c r="E19" s="437" t="str">
        <f ca="1">IF(cst_wsjob_JOB_KIND="中間検査","■","□")</f>
        <v>■</v>
      </c>
      <c r="F19" s="334" t="s">
        <v>2945</v>
      </c>
    </row>
    <row r="20" spans="1:51" s="334" customFormat="1" ht="19.5" customHeight="1">
      <c r="E20" s="437" t="str">
        <f ca="1">IF(cst_wsjob_JOB_KIND="完了検査","■","□")</f>
        <v>□</v>
      </c>
      <c r="F20" s="334" t="s">
        <v>2944</v>
      </c>
    </row>
    <row r="21" spans="1:51" s="334" customFormat="1" ht="19.5" customHeight="1">
      <c r="E21" s="279" t="s">
        <v>505</v>
      </c>
      <c r="F21" s="334" t="s">
        <v>2943</v>
      </c>
    </row>
    <row r="22" spans="1:51" s="334" customFormat="1" ht="19.5" customHeight="1">
      <c r="E22" s="279" t="s">
        <v>505</v>
      </c>
      <c r="F22" s="334" t="s">
        <v>2942</v>
      </c>
    </row>
    <row r="23" spans="1:51" s="334" customFormat="1" ht="19.5" customHeight="1">
      <c r="E23" s="279" t="s">
        <v>505</v>
      </c>
      <c r="F23" s="334" t="s">
        <v>2941</v>
      </c>
    </row>
    <row r="24" spans="1:51" s="334" customFormat="1" ht="19.5" customHeight="1">
      <c r="E24" s="279" t="s">
        <v>505</v>
      </c>
      <c r="F24" s="334" t="s">
        <v>2940</v>
      </c>
      <c r="I24" s="514"/>
      <c r="J24" s="514"/>
      <c r="K24" s="514"/>
      <c r="L24" s="514"/>
      <c r="M24" s="514"/>
      <c r="N24" s="514"/>
      <c r="O24" s="514"/>
      <c r="P24" s="514"/>
      <c r="Q24" s="514"/>
      <c r="R24" s="514"/>
      <c r="S24" s="514"/>
      <c r="T24" s="514"/>
      <c r="U24" s="514"/>
      <c r="V24" s="337" t="s">
        <v>4</v>
      </c>
    </row>
    <row r="25" spans="1:51" s="334" customFormat="1" ht="19.5" customHeight="1"/>
    <row r="26" spans="1:51" s="334" customFormat="1" ht="19.5" customHeight="1">
      <c r="A26" s="334" t="s">
        <v>2939</v>
      </c>
      <c r="AV26" s="334" t="s">
        <v>3184</v>
      </c>
      <c r="AW26" s="334" t="s">
        <v>3185</v>
      </c>
      <c r="AX26" s="334" t="s">
        <v>13</v>
      </c>
      <c r="AY26" s="334" t="s">
        <v>3172</v>
      </c>
    </row>
    <row r="27" spans="1:51" s="334" customFormat="1" ht="19.5" customHeight="1">
      <c r="E27" s="512" t="str">
        <f ca="1">IF(cst_wsjob_JOB_KIND="その他申請",cst_wsjob__address,cst_wskakunin_BUILD__address)</f>
        <v>静岡県静岡市葵区平和二丁目215-8</v>
      </c>
      <c r="F27" s="512"/>
      <c r="G27" s="512"/>
      <c r="H27" s="512"/>
      <c r="I27" s="512"/>
      <c r="J27" s="512"/>
      <c r="K27" s="512"/>
      <c r="L27" s="512"/>
      <c r="M27" s="512"/>
      <c r="N27" s="512"/>
      <c r="O27" s="512"/>
      <c r="P27" s="512"/>
      <c r="Q27" s="512"/>
      <c r="R27" s="512"/>
      <c r="S27" s="512"/>
      <c r="T27" s="512"/>
      <c r="U27" s="512"/>
      <c r="AU27" s="334" t="str">
        <f ca="1">IF(AV27="","","建築主1")</f>
        <v>建築主1</v>
      </c>
      <c r="AV27" s="334" t="str">
        <f ca="1">IF(cst_wsjob_JOB_KIND="その他申請",cst_wssonota_owner1__space,cst_wskakunin_owner1__space3)</f>
        <v>菅野　幸子</v>
      </c>
      <c r="AW27" s="334" t="str">
        <f ca="1">IF(cst_wsjob_JOB_KIND="その他申請",cst_wssonota_owner1_ZIP,cst_wskakunin_owner1_ZIP)</f>
        <v>420-0944</v>
      </c>
      <c r="AX27" s="334" t="str">
        <f ca="1">IF(cst_wsjob_JOB_KIND="その他申請",cst_wssonota_owner1__address,cst_wskakunin_owner1__address)</f>
        <v>静岡県静岡市葵区新伝馬二丁目8-41-101</v>
      </c>
      <c r="AY27" s="334" t="str">
        <f ca="1">IF(cst_wsjob_JOB_KIND="その他申請",cst_wssonota_owner1_TEL,cst_wskakunin_owner1_TEL)</f>
        <v>090-9183-9120</v>
      </c>
    </row>
    <row r="28" spans="1:51" s="334" customFormat="1" ht="19.5" customHeight="1">
      <c r="E28" s="512"/>
      <c r="F28" s="512"/>
      <c r="G28" s="512"/>
      <c r="H28" s="512"/>
      <c r="I28" s="512"/>
      <c r="J28" s="512"/>
      <c r="K28" s="512"/>
      <c r="L28" s="512"/>
      <c r="M28" s="512"/>
      <c r="N28" s="512"/>
      <c r="O28" s="512"/>
      <c r="P28" s="512"/>
      <c r="Q28" s="512"/>
      <c r="R28" s="512"/>
      <c r="S28" s="512"/>
      <c r="T28" s="512"/>
      <c r="U28" s="512"/>
      <c r="AU28" s="334" t="str">
        <f>IF(AV28="","","建築主2")</f>
        <v/>
      </c>
      <c r="AV28" s="334" t="str">
        <f>cst_wskakunin_owner2__space3</f>
        <v/>
      </c>
      <c r="AW28" s="334" t="str">
        <f>cst_wskakunin_owner2_ZIP</f>
        <v/>
      </c>
      <c r="AX28" s="334" t="str">
        <f>cst_wskakunin_owner2__address</f>
        <v/>
      </c>
      <c r="AY28" s="334" t="str">
        <f>cst_wskakunin_owner2_TEL</f>
        <v/>
      </c>
    </row>
    <row r="29" spans="1:51" s="334" customFormat="1" ht="19.5" customHeight="1">
      <c r="A29" s="334" t="s">
        <v>2938</v>
      </c>
      <c r="AU29" s="334" t="str">
        <f>IF(AV29="","","建築主3")</f>
        <v/>
      </c>
      <c r="AV29" s="334" t="str">
        <f>wskakunin_owner3_JIMU_NAME&amp;IF(wskakunin_owner3_JIMU_NAME="","",CHAR(10))&amp;IF(wskakunin_owner3_POST&amp;wskakunin_owner3_NAME="","",IF(wskakunin_owner3_POST="",wskakunin_owner3_NAME,wskakunin_owner3_POST&amp;"　"&amp;wskakunin_owner3_NAME))</f>
        <v/>
      </c>
      <c r="AW29" s="334" t="str">
        <f>cst_wskakunin_owner3_ZIP</f>
        <v/>
      </c>
      <c r="AX29" s="334" t="str">
        <f>cst_wskakunin_owner3__address</f>
        <v/>
      </c>
      <c r="AY29" s="334" t="str">
        <f>cst_wskakunin_owner3_TEL</f>
        <v/>
      </c>
    </row>
    <row r="30" spans="1:51" s="334" customFormat="1" ht="19.5" customHeight="1">
      <c r="E30" s="515" t="str">
        <f>cst_wskakunin_BUILD_NAME</f>
        <v>菅野　幸子　様邸　新築工事</v>
      </c>
      <c r="F30" s="515"/>
      <c r="G30" s="515"/>
      <c r="H30" s="515"/>
      <c r="I30" s="515"/>
      <c r="J30" s="515"/>
      <c r="K30" s="515"/>
      <c r="L30" s="515"/>
      <c r="M30" s="515"/>
      <c r="N30" s="515"/>
      <c r="O30" s="515"/>
      <c r="P30" s="515"/>
      <c r="Q30" s="515"/>
      <c r="R30" s="515"/>
      <c r="S30" s="515"/>
      <c r="T30" s="515"/>
      <c r="U30" s="515"/>
      <c r="AU30" s="334" t="str">
        <f>IF(AV30="","","建築主4")</f>
        <v/>
      </c>
      <c r="AV30" s="334" t="str">
        <f>wskakunin_owner4_JIMU_NAME&amp;IF(wskakunin_owner4_JIMU_NAME="","",CHAR(10))&amp;IF(wskakunin_owner4_POST&amp;wskakunin_owner4_NAME="","",IF(wskakunin_owner4_POST="",wskakunin_owner4_NAME,wskakunin_owner4_POST&amp;"　"&amp;wskakunin_owner4_NAME))</f>
        <v/>
      </c>
      <c r="AW30" s="334" t="str">
        <f>cst_wskakunin_owner4_ZIP</f>
        <v/>
      </c>
      <c r="AX30" s="334" t="str">
        <f>cst_wskakunin_owner4__address</f>
        <v/>
      </c>
      <c r="AY30" s="334" t="str">
        <f>cst_wskakunin_owner4_TEL</f>
        <v/>
      </c>
    </row>
    <row r="31" spans="1:51" s="334" customFormat="1" ht="19.5" customHeight="1">
      <c r="AA31" s="334" t="str">
        <f>IF(AV28="","","２人目以降の建築主が入力されております")</f>
        <v/>
      </c>
      <c r="AU31" s="334" t="str">
        <f>IF(AV31="","","建築主5")</f>
        <v/>
      </c>
      <c r="AV31" s="334" t="str">
        <f>wskakunin_owner5_JIMU_NAME&amp;IF(wskakunin_owner5_JIMU_NAME="","",CHAR(10))&amp;IF(wskakunin_owner5_POST&amp;wskakunin_owner5_NAME="","",IF(wskakunin_owner5_POST="",wskakunin_owner5_NAME,wskakunin_owner5_POST&amp;"　"&amp;wskakunin_owner5_NAME))</f>
        <v/>
      </c>
      <c r="AW31" s="334" t="str">
        <f>cst_wskakunin_owner5_ZIP</f>
        <v/>
      </c>
      <c r="AX31" s="334" t="str">
        <f>cst_wskakunin_owner5__address</f>
        <v/>
      </c>
      <c r="AY31" s="334" t="str">
        <f>cst_wskakunin_owner5_TEL</f>
        <v/>
      </c>
    </row>
    <row r="32" spans="1:51" s="334" customFormat="1" ht="19.5" customHeight="1">
      <c r="O32" s="336"/>
      <c r="P32" s="516"/>
      <c r="Q32" s="516"/>
      <c r="R32" s="435" t="s">
        <v>464</v>
      </c>
      <c r="S32" s="436"/>
      <c r="T32" s="435" t="s">
        <v>1</v>
      </c>
      <c r="U32" s="436"/>
      <c r="V32" s="435" t="s">
        <v>465</v>
      </c>
      <c r="AA32" s="334" t="str">
        <f>IF(AV28="","","（以下のプルダウンで委任状に表示される建築主を切替え出力してください）")</f>
        <v/>
      </c>
      <c r="AU32" s="334" t="str">
        <f>IF(AV32="","","建築主6")</f>
        <v/>
      </c>
      <c r="AV32" s="334" t="str">
        <f>wskakunin_owner6_JIMU_NAME&amp;IF(wskakunin_owner6_JIMU_NAME="","",CHAR(10))&amp;IF(wskakunin_owner6_POST&amp;wskakunin_owner6_NAME="","",IF(wskakunin_owner6_POST="",wskakunin_owner6_NAME,wskakunin_owner6_POST&amp;"　"&amp;wskakunin_owner6_NAME))</f>
        <v/>
      </c>
      <c r="AW32" s="334" t="str">
        <f>cst_wskakunin_owner6_ZIP</f>
        <v/>
      </c>
      <c r="AX32" s="334" t="str">
        <f>cst_wskakunin_owner6__address</f>
        <v/>
      </c>
      <c r="AY32" s="334" t="str">
        <f>cst_wskakunin_owner6_TEL</f>
        <v/>
      </c>
    </row>
    <row r="33" spans="1:51" s="334" customFormat="1" ht="19.5" customHeight="1" thickBot="1">
      <c r="A33" s="334" t="s">
        <v>2937</v>
      </c>
      <c r="AU33" s="334" t="str">
        <f>IF(AV33="","","建築主7")</f>
        <v/>
      </c>
      <c r="AV33" s="334" t="str">
        <f>wskakunin_owner7_JIMU_NAME&amp;IF(wskakunin_owner7_JIMU_NAME="","",CHAR(10))&amp;IF(wskakunin_owner7_POST&amp;wskakunin_owner7_NAME="","",IF(wskakunin_owner7_POST="",wskakunin_owner7_NAME,wskakunin_owner7_POST&amp;"　"&amp;wskakunin_owner7_NAME))</f>
        <v/>
      </c>
      <c r="AW33" s="334" t="str">
        <f>cst_wskakunin_owner7_ZIP</f>
        <v/>
      </c>
      <c r="AX33" s="334" t="str">
        <f>cst_wskakunin_owner7__address</f>
        <v/>
      </c>
      <c r="AY33" s="334" t="str">
        <f>cst_wskakunin_owner7_TEL</f>
        <v/>
      </c>
    </row>
    <row r="34" spans="1:51" s="334" customFormat="1" ht="19.5" customHeight="1">
      <c r="B34" s="335" t="s">
        <v>2936</v>
      </c>
      <c r="C34" s="335"/>
      <c r="D34" s="335"/>
      <c r="E34" s="512" t="str">
        <f ca="1">IFERROR(VLOOKUP(AA34,AU26:AY35,2,FALSE),"")</f>
        <v>菅野　幸子</v>
      </c>
      <c r="F34" s="512"/>
      <c r="G34" s="512"/>
      <c r="H34" s="512"/>
      <c r="I34" s="512"/>
      <c r="J34" s="512"/>
      <c r="K34" s="512"/>
      <c r="L34" s="512"/>
      <c r="M34" s="512"/>
      <c r="N34" s="512"/>
      <c r="O34" s="512"/>
      <c r="P34" s="512"/>
      <c r="Q34" s="512"/>
      <c r="R34" s="512"/>
      <c r="S34" s="512"/>
      <c r="T34" s="512"/>
      <c r="U34" s="512"/>
      <c r="AA34" s="506" t="s">
        <v>3218</v>
      </c>
      <c r="AB34" s="507"/>
      <c r="AC34" s="507"/>
      <c r="AD34" s="507"/>
      <c r="AE34" s="507"/>
      <c r="AF34" s="508"/>
      <c r="AU34" s="334" t="str">
        <f>IF(AV34="","","建築主8")</f>
        <v/>
      </c>
      <c r="AV34" s="334" t="str">
        <f>wskakunin_owner8_JIMU_NAME&amp;IF(wskakunin_owner8_JIMU_NAME="","",CHAR(10))&amp;IF(wskakunin_owner8_POST&amp;wskakunin_owner8_NAME="","",IF(wskakunin_owner8_POST="",wskakunin_owner8_NAME,wskakunin_owner8_POST&amp;"　"&amp;wskakunin_owner8_NAME))</f>
        <v/>
      </c>
      <c r="AW34" s="334" t="str">
        <f>cst_wskakunin_owner8_ZIP</f>
        <v/>
      </c>
      <c r="AX34" s="334" t="str">
        <f>cst_wskakunin_owner8__address</f>
        <v/>
      </c>
      <c r="AY34" s="334" t="str">
        <f>cst_wskakunin_owner8_TEL</f>
        <v/>
      </c>
    </row>
    <row r="35" spans="1:51" s="334" customFormat="1" ht="19.5" customHeight="1" thickBot="1">
      <c r="B35" s="335"/>
      <c r="C35" s="335"/>
      <c r="D35" s="335"/>
      <c r="E35" s="512"/>
      <c r="F35" s="512"/>
      <c r="G35" s="512"/>
      <c r="H35" s="512"/>
      <c r="I35" s="512"/>
      <c r="J35" s="512"/>
      <c r="K35" s="512"/>
      <c r="L35" s="512"/>
      <c r="M35" s="512"/>
      <c r="N35" s="512"/>
      <c r="O35" s="512"/>
      <c r="P35" s="512"/>
      <c r="Q35" s="512"/>
      <c r="R35" s="512"/>
      <c r="S35" s="512"/>
      <c r="T35" s="512"/>
      <c r="U35" s="512"/>
      <c r="AA35" s="509"/>
      <c r="AB35" s="510"/>
      <c r="AC35" s="510"/>
      <c r="AD35" s="510"/>
      <c r="AE35" s="510"/>
      <c r="AF35" s="511"/>
      <c r="AU35" s="334" t="str">
        <f>IF(AV35="","","建築主9")</f>
        <v/>
      </c>
      <c r="AV35" s="334" t="str">
        <f>wskakunin_owner9_JIMU_NAME&amp;IF(wskakunin_owner9_JIMU_NAME="","",CHAR(10))&amp;IF(wskakunin_owner9_POST&amp;wskakunin_owner9_NAME="","",IF(wskakunin_owner9_POST="",wskakunin_owner9_NAME,wskakunin_owner9_POST&amp;"　"&amp;wskakunin_owner9_NAME))</f>
        <v/>
      </c>
      <c r="AW35" s="334" t="str">
        <f>cst_wskakunin_owner9_ZIP</f>
        <v/>
      </c>
      <c r="AX35" s="334" t="str">
        <f>cst_wskakunin_owner9__address</f>
        <v/>
      </c>
      <c r="AY35" s="334" t="str">
        <f>cst_wskakunin_owner9_TEL</f>
        <v/>
      </c>
    </row>
    <row r="36" spans="1:51" s="334" customFormat="1" ht="19.5" customHeight="1">
      <c r="B36" s="335" t="s">
        <v>2935</v>
      </c>
      <c r="C36" s="335"/>
      <c r="D36" s="335"/>
      <c r="E36" s="503" t="str">
        <f ca="1">IFERROR(VLOOKUP(AA34,AU26:AY35,3,FALSE),"")</f>
        <v>420-0944</v>
      </c>
      <c r="F36" s="503"/>
      <c r="G36" s="503"/>
      <c r="H36" s="503"/>
      <c r="I36" s="335"/>
      <c r="J36" s="335"/>
      <c r="K36" s="335"/>
      <c r="L36" s="335"/>
      <c r="M36" s="335"/>
      <c r="N36" s="335"/>
      <c r="O36" s="335"/>
      <c r="P36" s="335"/>
      <c r="Q36" s="335"/>
      <c r="R36" s="335"/>
      <c r="S36" s="335"/>
      <c r="T36" s="335"/>
      <c r="U36" s="335"/>
    </row>
    <row r="37" spans="1:51" s="334" customFormat="1" ht="2.25" customHeight="1">
      <c r="B37" s="335"/>
      <c r="C37" s="335"/>
      <c r="D37" s="335"/>
      <c r="E37" s="335"/>
      <c r="F37" s="335"/>
      <c r="G37" s="335"/>
      <c r="H37" s="335"/>
      <c r="I37" s="335"/>
      <c r="J37" s="335"/>
      <c r="K37" s="335"/>
      <c r="L37" s="335"/>
      <c r="M37" s="335"/>
      <c r="N37" s="335"/>
      <c r="O37" s="335"/>
      <c r="P37" s="335"/>
      <c r="Q37" s="335"/>
      <c r="R37" s="335"/>
      <c r="S37" s="335"/>
      <c r="T37" s="335"/>
      <c r="U37" s="335"/>
    </row>
    <row r="38" spans="1:51" s="334" customFormat="1" ht="19.5" customHeight="1">
      <c r="B38" s="335" t="s">
        <v>2934</v>
      </c>
      <c r="C38" s="335"/>
      <c r="D38" s="335"/>
      <c r="E38" s="512" t="str">
        <f ca="1">IFERROR(VLOOKUP(AA34,AU26:AY35,4,FALSE),"")</f>
        <v>静岡県静岡市葵区新伝馬二丁目8-41-101</v>
      </c>
      <c r="F38" s="512"/>
      <c r="G38" s="512"/>
      <c r="H38" s="512"/>
      <c r="I38" s="512"/>
      <c r="J38" s="512"/>
      <c r="K38" s="512"/>
      <c r="L38" s="512"/>
      <c r="M38" s="512"/>
      <c r="N38" s="512"/>
      <c r="O38" s="512"/>
      <c r="P38" s="512"/>
      <c r="Q38" s="512"/>
      <c r="R38" s="512"/>
      <c r="S38" s="512"/>
      <c r="T38" s="512"/>
      <c r="U38" s="512"/>
    </row>
    <row r="39" spans="1:51" s="334" customFormat="1" ht="19.5" customHeight="1">
      <c r="B39" s="335"/>
      <c r="C39" s="335"/>
      <c r="D39" s="335"/>
      <c r="E39" s="512"/>
      <c r="F39" s="512"/>
      <c r="G39" s="512"/>
      <c r="H39" s="512"/>
      <c r="I39" s="512"/>
      <c r="J39" s="512"/>
      <c r="K39" s="512"/>
      <c r="L39" s="512"/>
      <c r="M39" s="512"/>
      <c r="N39" s="512"/>
      <c r="O39" s="512"/>
      <c r="P39" s="512"/>
      <c r="Q39" s="512"/>
      <c r="R39" s="512"/>
      <c r="S39" s="512"/>
      <c r="T39" s="512"/>
      <c r="U39" s="512"/>
    </row>
    <row r="40" spans="1:51" s="334" customFormat="1" ht="19.5" customHeight="1">
      <c r="B40" s="335" t="s">
        <v>2933</v>
      </c>
      <c r="C40" s="335"/>
      <c r="D40" s="335"/>
      <c r="E40" s="503" t="str">
        <f ca="1">IFERROR(VLOOKUP(AA34,AU26:AY35,5,FALSE),"")</f>
        <v>090-9183-9120</v>
      </c>
      <c r="F40" s="503"/>
      <c r="G40" s="503"/>
      <c r="H40" s="503"/>
      <c r="I40" s="503"/>
      <c r="J40" s="503"/>
      <c r="K40" s="335"/>
      <c r="L40" s="335"/>
      <c r="M40" s="335"/>
      <c r="N40" s="335"/>
      <c r="O40" s="335"/>
      <c r="P40" s="335"/>
      <c r="Q40" s="335"/>
      <c r="R40" s="335"/>
      <c r="S40" s="335"/>
      <c r="T40" s="335"/>
      <c r="U40" s="335"/>
    </row>
    <row r="41" spans="1:51" s="334" customFormat="1" ht="19.5" customHeight="1"/>
  </sheetData>
  <mergeCells count="16">
    <mergeCell ref="AA34:AF35"/>
    <mergeCell ref="E38:U39"/>
    <mergeCell ref="E40:J40"/>
    <mergeCell ref="A16:V16"/>
    <mergeCell ref="I24:U24"/>
    <mergeCell ref="E27:U28"/>
    <mergeCell ref="E30:U30"/>
    <mergeCell ref="E34:U35"/>
    <mergeCell ref="E36:H36"/>
    <mergeCell ref="P32:Q32"/>
    <mergeCell ref="E12:J12"/>
    <mergeCell ref="A1:V1"/>
    <mergeCell ref="E4:U5"/>
    <mergeCell ref="E6:U7"/>
    <mergeCell ref="E8:H8"/>
    <mergeCell ref="E10:U11"/>
  </mergeCells>
  <phoneticPr fontId="57"/>
  <conditionalFormatting sqref="E18:E20">
    <cfRule type="expression" dxfId="56" priority="4">
      <formula>cst_wsjob_JOB_KIND="その他申請"</formula>
    </cfRule>
  </conditionalFormatting>
  <conditionalFormatting sqref="E4:U7 E8:H8 E10:U11 E12:J12 E30:U30">
    <cfRule type="expression" dxfId="55" priority="2">
      <formula>cst_wsjob_JOB_KIND="その他申請"</formula>
    </cfRule>
  </conditionalFormatting>
  <conditionalFormatting sqref="E34:U35 E36:H36 E38:U39 E40:J40">
    <cfRule type="expression" dxfId="54" priority="1">
      <formula>AND($AA$34="建築主2",cst_wsjob_JOB_KIND="その他申請")</formula>
    </cfRule>
  </conditionalFormatting>
  <dataValidations count="2">
    <dataValidation type="list" allowBlank="1" showInputMessage="1" showErrorMessage="1" sqref="E18:E24">
      <formula1>"□,■"</formula1>
    </dataValidation>
    <dataValidation type="list" allowBlank="1" showInputMessage="1" showErrorMessage="1" sqref="AA34:AF35">
      <formula1>$AU$26:$AU$35</formula1>
    </dataValidation>
  </dataValidations>
  <printOptions horizontalCentered="1"/>
  <pageMargins left="0.7" right="0.7" top="0.75" bottom="0.75" header="0.3" footer="0.3"/>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zoomScaleNormal="100" workbookViewId="0">
      <selection sqref="A1:AA1"/>
    </sheetView>
  </sheetViews>
  <sheetFormatPr defaultColWidth="3.125" defaultRowHeight="13.5"/>
  <cols>
    <col min="1" max="1" width="3.125" style="16" customWidth="1"/>
    <col min="2" max="16384" width="3.125" style="16"/>
  </cols>
  <sheetData>
    <row r="1" spans="1:27" ht="14.25">
      <c r="A1" s="518" t="s">
        <v>3170</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row>
    <row r="2" spans="1:27" ht="7.5" customHeight="1">
      <c r="A2" s="472"/>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4"/>
    </row>
    <row r="3" spans="1:27">
      <c r="A3" s="475"/>
      <c r="B3" s="16" t="s">
        <v>3171</v>
      </c>
      <c r="H3" s="16" t="s">
        <v>120</v>
      </c>
      <c r="J3" s="519"/>
      <c r="K3" s="519"/>
      <c r="L3" s="519"/>
      <c r="M3" s="519"/>
      <c r="N3" s="519"/>
      <c r="O3" s="519"/>
      <c r="P3" s="519"/>
      <c r="Q3" s="519"/>
      <c r="R3" s="519"/>
      <c r="S3" s="519"/>
      <c r="T3" s="519"/>
      <c r="U3" s="519"/>
      <c r="V3" s="519"/>
      <c r="W3" s="519"/>
      <c r="X3" s="519"/>
      <c r="Y3" s="519"/>
      <c r="Z3" s="519"/>
      <c r="AA3" s="476"/>
    </row>
    <row r="4" spans="1:27" ht="9" customHeight="1">
      <c r="A4" s="475"/>
      <c r="AA4" s="476"/>
    </row>
    <row r="5" spans="1:27">
      <c r="A5" s="475"/>
      <c r="H5" s="16" t="s">
        <v>11</v>
      </c>
      <c r="J5" s="519"/>
      <c r="K5" s="519"/>
      <c r="L5" s="519"/>
      <c r="M5" s="519"/>
      <c r="N5" s="519"/>
      <c r="O5" s="519"/>
      <c r="P5" s="519"/>
      <c r="Q5" s="519"/>
      <c r="R5" s="519"/>
      <c r="S5" s="519"/>
      <c r="T5" s="519"/>
      <c r="U5" s="519"/>
      <c r="V5" s="519"/>
      <c r="W5" s="519"/>
      <c r="X5" s="519"/>
      <c r="Y5" s="519"/>
      <c r="Z5" s="519"/>
      <c r="AA5" s="476"/>
    </row>
    <row r="6" spans="1:27" ht="9" customHeight="1">
      <c r="A6" s="475"/>
      <c r="AA6" s="476"/>
    </row>
    <row r="7" spans="1:27">
      <c r="A7" s="475"/>
      <c r="H7" s="16" t="s">
        <v>3172</v>
      </c>
      <c r="J7" s="477"/>
      <c r="K7" s="477"/>
      <c r="L7" s="477"/>
      <c r="M7" s="477"/>
      <c r="N7" s="477"/>
      <c r="O7" s="477"/>
      <c r="R7" s="16" t="s">
        <v>3173</v>
      </c>
      <c r="T7" s="477"/>
      <c r="U7" s="477"/>
      <c r="V7" s="477"/>
      <c r="W7" s="477"/>
      <c r="X7" s="477"/>
      <c r="Y7" s="477"/>
      <c r="AA7" s="476"/>
    </row>
    <row r="8" spans="1:27" ht="9" customHeight="1">
      <c r="A8" s="475"/>
      <c r="AA8" s="476"/>
    </row>
    <row r="9" spans="1:27">
      <c r="A9" s="475"/>
      <c r="H9" s="16" t="s">
        <v>3174</v>
      </c>
      <c r="J9" s="477"/>
      <c r="K9" s="477"/>
      <c r="L9" s="477"/>
      <c r="M9" s="477"/>
      <c r="N9" s="477"/>
      <c r="O9" s="477"/>
      <c r="AA9" s="476"/>
    </row>
    <row r="10" spans="1:27" ht="7.5" customHeight="1">
      <c r="A10" s="478"/>
      <c r="B10" s="479"/>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80"/>
    </row>
    <row r="11" spans="1:27" ht="11.25" customHeight="1"/>
    <row r="12" spans="1:27" ht="7.5" customHeight="1">
      <c r="A12" s="472"/>
      <c r="B12" s="473"/>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4"/>
    </row>
    <row r="13" spans="1:27">
      <c r="A13" s="475"/>
      <c r="B13" s="16" t="s">
        <v>3175</v>
      </c>
      <c r="J13" s="520"/>
      <c r="K13" s="520"/>
      <c r="L13" s="520"/>
      <c r="M13" s="16" t="s">
        <v>464</v>
      </c>
      <c r="N13" s="520"/>
      <c r="O13" s="521"/>
      <c r="P13" s="16" t="s">
        <v>1</v>
      </c>
      <c r="Q13" s="520"/>
      <c r="R13" s="521"/>
      <c r="S13" s="16" t="s">
        <v>465</v>
      </c>
      <c r="AA13" s="476"/>
    </row>
    <row r="14" spans="1:27" ht="7.5" customHeight="1">
      <c r="A14" s="478"/>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80"/>
    </row>
    <row r="15" spans="1:27" ht="11.25" customHeight="1"/>
    <row r="16" spans="1:27" ht="7.5" customHeight="1">
      <c r="A16" s="472"/>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4"/>
    </row>
    <row r="17" spans="1:27">
      <c r="A17" s="475"/>
      <c r="B17" s="16" t="s">
        <v>3176</v>
      </c>
      <c r="H17" s="16" t="s">
        <v>3177</v>
      </c>
      <c r="K17" s="16" t="s">
        <v>3</v>
      </c>
      <c r="L17" s="481" t="s">
        <v>505</v>
      </c>
      <c r="M17" s="482" t="s">
        <v>3178</v>
      </c>
      <c r="P17" s="481" t="s">
        <v>505</v>
      </c>
      <c r="Q17" s="482" t="s">
        <v>3179</v>
      </c>
      <c r="S17" s="16" t="s">
        <v>4</v>
      </c>
      <c r="AA17" s="476"/>
    </row>
    <row r="18" spans="1:27" ht="9" customHeight="1">
      <c r="A18" s="475"/>
      <c r="AA18" s="476"/>
    </row>
    <row r="19" spans="1:27">
      <c r="A19" s="475"/>
      <c r="H19" s="16" t="s">
        <v>1307</v>
      </c>
      <c r="K19" s="16" t="s">
        <v>3</v>
      </c>
      <c r="L19" s="481" t="s">
        <v>505</v>
      </c>
      <c r="M19" s="482" t="s">
        <v>3180</v>
      </c>
      <c r="P19" s="481" t="s">
        <v>505</v>
      </c>
      <c r="Q19" s="482" t="s">
        <v>3181</v>
      </c>
      <c r="S19" s="16" t="s">
        <v>4</v>
      </c>
      <c r="AA19" s="476"/>
    </row>
    <row r="20" spans="1:27" ht="7.5" customHeight="1">
      <c r="A20" s="478"/>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80"/>
    </row>
    <row r="21" spans="1:27" ht="11.25" customHeight="1"/>
    <row r="22" spans="1:27" ht="7.5" customHeight="1">
      <c r="A22" s="472"/>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4"/>
    </row>
    <row r="23" spans="1:27">
      <c r="A23" s="475"/>
      <c r="B23" s="497" t="s">
        <v>3292</v>
      </c>
      <c r="AA23" s="476"/>
    </row>
    <row r="24" spans="1:27" ht="9" customHeight="1">
      <c r="A24" s="475"/>
      <c r="AA24" s="476"/>
    </row>
    <row r="25" spans="1:27">
      <c r="A25" s="475"/>
      <c r="H25" s="16" t="s">
        <v>1299</v>
      </c>
      <c r="K25" s="16" t="s">
        <v>3</v>
      </c>
      <c r="L25" s="481" t="s">
        <v>505</v>
      </c>
      <c r="M25" s="482" t="s">
        <v>3178</v>
      </c>
      <c r="P25" s="481" t="s">
        <v>505</v>
      </c>
      <c r="Q25" s="482" t="s">
        <v>3179</v>
      </c>
      <c r="S25" s="16" t="s">
        <v>4</v>
      </c>
      <c r="AA25" s="476"/>
    </row>
    <row r="26" spans="1:27" ht="9" customHeight="1">
      <c r="A26" s="475"/>
      <c r="AA26" s="476"/>
    </row>
    <row r="27" spans="1:27">
      <c r="A27" s="475"/>
      <c r="H27" s="16" t="s">
        <v>3182</v>
      </c>
      <c r="K27" s="16" t="s">
        <v>3</v>
      </c>
      <c r="L27" s="481" t="s">
        <v>505</v>
      </c>
      <c r="M27" s="482" t="s">
        <v>3178</v>
      </c>
      <c r="P27" s="481" t="s">
        <v>505</v>
      </c>
      <c r="Q27" s="482" t="s">
        <v>3179</v>
      </c>
      <c r="S27" s="16" t="s">
        <v>4</v>
      </c>
      <c r="AA27" s="476"/>
    </row>
    <row r="28" spans="1:27" ht="7.5" customHeight="1">
      <c r="A28" s="478"/>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80"/>
    </row>
    <row r="29" spans="1:27" ht="11.25" customHeight="1"/>
    <row r="30" spans="1:27" ht="9" customHeight="1">
      <c r="A30" s="472"/>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4"/>
    </row>
    <row r="31" spans="1:27">
      <c r="A31" s="475"/>
      <c r="B31" s="16" t="s">
        <v>484</v>
      </c>
      <c r="H31" s="517"/>
      <c r="I31" s="517"/>
      <c r="J31" s="517"/>
      <c r="K31" s="517"/>
      <c r="L31" s="517"/>
      <c r="M31" s="517"/>
      <c r="N31" s="517"/>
      <c r="O31" s="517"/>
      <c r="P31" s="517"/>
      <c r="Q31" s="517"/>
      <c r="R31" s="517"/>
      <c r="S31" s="517"/>
      <c r="T31" s="517"/>
      <c r="U31" s="517"/>
      <c r="V31" s="517"/>
      <c r="W31" s="517"/>
      <c r="X31" s="517"/>
      <c r="Y31" s="517"/>
      <c r="Z31" s="517"/>
      <c r="AA31" s="476"/>
    </row>
    <row r="32" spans="1:27">
      <c r="A32" s="475"/>
      <c r="H32" s="517"/>
      <c r="I32" s="517"/>
      <c r="J32" s="517"/>
      <c r="K32" s="517"/>
      <c r="L32" s="517"/>
      <c r="M32" s="517"/>
      <c r="N32" s="517"/>
      <c r="O32" s="517"/>
      <c r="P32" s="517"/>
      <c r="Q32" s="517"/>
      <c r="R32" s="517"/>
      <c r="S32" s="517"/>
      <c r="T32" s="517"/>
      <c r="U32" s="517"/>
      <c r="V32" s="517"/>
      <c r="W32" s="517"/>
      <c r="X32" s="517"/>
      <c r="Y32" s="517"/>
      <c r="Z32" s="517"/>
      <c r="AA32" s="476"/>
    </row>
    <row r="33" spans="1:27" ht="9" customHeight="1">
      <c r="A33" s="478"/>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80"/>
    </row>
  </sheetData>
  <mergeCells count="7">
    <mergeCell ref="H31:Z32"/>
    <mergeCell ref="A1:AA1"/>
    <mergeCell ref="J3:Z3"/>
    <mergeCell ref="J5:Z5"/>
    <mergeCell ref="J13:L13"/>
    <mergeCell ref="N13:O13"/>
    <mergeCell ref="Q13:R13"/>
  </mergeCells>
  <phoneticPr fontId="57"/>
  <dataValidations count="1">
    <dataValidation type="list" allowBlank="1" showInputMessage="1" showErrorMessage="1" sqref="L17 L19 L25 L27 P17 P19 P25 P27">
      <formula1>しろくろ</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2"/>
  <sheetViews>
    <sheetView zoomScaleNormal="100" zoomScaleSheetLayoutView="100" workbookViewId="0"/>
  </sheetViews>
  <sheetFormatPr defaultColWidth="9" defaultRowHeight="12"/>
  <cols>
    <col min="1" max="27" width="3.125" style="410" customWidth="1"/>
    <col min="28" max="28" width="1.75" style="410" customWidth="1"/>
    <col min="29" max="29" width="9" style="410" customWidth="1"/>
    <col min="30" max="30" width="10.25" style="410" bestFit="1" customWidth="1"/>
    <col min="31" max="31" width="14.125" style="410" bestFit="1" customWidth="1"/>
    <col min="32" max="256" width="9" style="410" customWidth="1"/>
    <col min="257" max="283" width="3.125" style="410" customWidth="1"/>
    <col min="284" max="284" width="1.75" style="410" customWidth="1"/>
    <col min="285" max="285" width="9" style="410" customWidth="1"/>
    <col min="286" max="286" width="10.25" style="410" bestFit="1" customWidth="1"/>
    <col min="287" max="287" width="14.125" style="410" bestFit="1" customWidth="1"/>
    <col min="288" max="512" width="9" style="410" customWidth="1"/>
    <col min="513" max="539" width="3.125" style="410" customWidth="1"/>
    <col min="540" max="540" width="1.75" style="410" customWidth="1"/>
    <col min="541" max="541" width="9" style="410" customWidth="1"/>
    <col min="542" max="542" width="10.25" style="410" bestFit="1" customWidth="1"/>
    <col min="543" max="543" width="14.125" style="410" bestFit="1" customWidth="1"/>
    <col min="544" max="768" width="9" style="410" customWidth="1"/>
    <col min="769" max="795" width="3.125" style="410" customWidth="1"/>
    <col min="796" max="796" width="1.75" style="410" customWidth="1"/>
    <col min="797" max="797" width="9" style="410" customWidth="1"/>
    <col min="798" max="798" width="10.25" style="410" bestFit="1" customWidth="1"/>
    <col min="799" max="799" width="14.125" style="410" bestFit="1" customWidth="1"/>
    <col min="800" max="1024" width="9" style="410" customWidth="1"/>
    <col min="1025" max="1051" width="3.125" style="410" customWidth="1"/>
    <col min="1052" max="1052" width="1.75" style="410" customWidth="1"/>
    <col min="1053" max="1053" width="9" style="410" customWidth="1"/>
    <col min="1054" max="1054" width="10.25" style="410" bestFit="1" customWidth="1"/>
    <col min="1055" max="1055" width="14.125" style="410" bestFit="1" customWidth="1"/>
    <col min="1056" max="1280" width="9" style="410" customWidth="1"/>
    <col min="1281" max="1307" width="3.125" style="410" customWidth="1"/>
    <col min="1308" max="1308" width="1.75" style="410" customWidth="1"/>
    <col min="1309" max="1309" width="9" style="410" customWidth="1"/>
    <col min="1310" max="1310" width="10.25" style="410" bestFit="1" customWidth="1"/>
    <col min="1311" max="1311" width="14.125" style="410" bestFit="1" customWidth="1"/>
    <col min="1312" max="1536" width="9" style="410" customWidth="1"/>
    <col min="1537" max="1563" width="3.125" style="410" customWidth="1"/>
    <col min="1564" max="1564" width="1.75" style="410" customWidth="1"/>
    <col min="1565" max="1565" width="9" style="410" customWidth="1"/>
    <col min="1566" max="1566" width="10.25" style="410" bestFit="1" customWidth="1"/>
    <col min="1567" max="1567" width="14.125" style="410" bestFit="1" customWidth="1"/>
    <col min="1568" max="1792" width="9" style="410" customWidth="1"/>
    <col min="1793" max="1819" width="3.125" style="410" customWidth="1"/>
    <col min="1820" max="1820" width="1.75" style="410" customWidth="1"/>
    <col min="1821" max="1821" width="9" style="410" customWidth="1"/>
    <col min="1822" max="1822" width="10.25" style="410" bestFit="1" customWidth="1"/>
    <col min="1823" max="1823" width="14.125" style="410" bestFit="1" customWidth="1"/>
    <col min="1824" max="2048" width="9" style="410" customWidth="1"/>
    <col min="2049" max="2075" width="3.125" style="410" customWidth="1"/>
    <col min="2076" max="2076" width="1.75" style="410" customWidth="1"/>
    <col min="2077" max="2077" width="9" style="410" customWidth="1"/>
    <col min="2078" max="2078" width="10.25" style="410" bestFit="1" customWidth="1"/>
    <col min="2079" max="2079" width="14.125" style="410" bestFit="1" customWidth="1"/>
    <col min="2080" max="2304" width="9" style="410" customWidth="1"/>
    <col min="2305" max="2331" width="3.125" style="410" customWidth="1"/>
    <col min="2332" max="2332" width="1.75" style="410" customWidth="1"/>
    <col min="2333" max="2333" width="9" style="410" customWidth="1"/>
    <col min="2334" max="2334" width="10.25" style="410" bestFit="1" customWidth="1"/>
    <col min="2335" max="2335" width="14.125" style="410" bestFit="1" customWidth="1"/>
    <col min="2336" max="2560" width="9" style="410" customWidth="1"/>
    <col min="2561" max="2587" width="3.125" style="410" customWidth="1"/>
    <col min="2588" max="2588" width="1.75" style="410" customWidth="1"/>
    <col min="2589" max="2589" width="9" style="410" customWidth="1"/>
    <col min="2590" max="2590" width="10.25" style="410" bestFit="1" customWidth="1"/>
    <col min="2591" max="2591" width="14.125" style="410" bestFit="1" customWidth="1"/>
    <col min="2592" max="2816" width="9" style="410" customWidth="1"/>
    <col min="2817" max="2843" width="3.125" style="410" customWidth="1"/>
    <col min="2844" max="2844" width="1.75" style="410" customWidth="1"/>
    <col min="2845" max="2845" width="9" style="410" customWidth="1"/>
    <col min="2846" max="2846" width="10.25" style="410" bestFit="1" customWidth="1"/>
    <col min="2847" max="2847" width="14.125" style="410" bestFit="1" customWidth="1"/>
    <col min="2848" max="3072" width="9" style="410" customWidth="1"/>
    <col min="3073" max="3099" width="3.125" style="410" customWidth="1"/>
    <col min="3100" max="3100" width="1.75" style="410" customWidth="1"/>
    <col min="3101" max="3101" width="9" style="410" customWidth="1"/>
    <col min="3102" max="3102" width="10.25" style="410" bestFit="1" customWidth="1"/>
    <col min="3103" max="3103" width="14.125" style="410" bestFit="1" customWidth="1"/>
    <col min="3104" max="3328" width="9" style="410" customWidth="1"/>
    <col min="3329" max="3355" width="3.125" style="410" customWidth="1"/>
    <col min="3356" max="3356" width="1.75" style="410" customWidth="1"/>
    <col min="3357" max="3357" width="9" style="410" customWidth="1"/>
    <col min="3358" max="3358" width="10.25" style="410" bestFit="1" customWidth="1"/>
    <col min="3359" max="3359" width="14.125" style="410" bestFit="1" customWidth="1"/>
    <col min="3360" max="3584" width="9" style="410" customWidth="1"/>
    <col min="3585" max="3611" width="3.125" style="410" customWidth="1"/>
    <col min="3612" max="3612" width="1.75" style="410" customWidth="1"/>
    <col min="3613" max="3613" width="9" style="410" customWidth="1"/>
    <col min="3614" max="3614" width="10.25" style="410" bestFit="1" customWidth="1"/>
    <col min="3615" max="3615" width="14.125" style="410" bestFit="1" customWidth="1"/>
    <col min="3616" max="3840" width="9" style="410" customWidth="1"/>
    <col min="3841" max="3867" width="3.125" style="410" customWidth="1"/>
    <col min="3868" max="3868" width="1.75" style="410" customWidth="1"/>
    <col min="3869" max="3869" width="9" style="410" customWidth="1"/>
    <col min="3870" max="3870" width="10.25" style="410" bestFit="1" customWidth="1"/>
    <col min="3871" max="3871" width="14.125" style="410" bestFit="1" customWidth="1"/>
    <col min="3872" max="4096" width="9" style="410" customWidth="1"/>
    <col min="4097" max="4123" width="3.125" style="410" customWidth="1"/>
    <col min="4124" max="4124" width="1.75" style="410" customWidth="1"/>
    <col min="4125" max="4125" width="9" style="410" customWidth="1"/>
    <col min="4126" max="4126" width="10.25" style="410" bestFit="1" customWidth="1"/>
    <col min="4127" max="4127" width="14.125" style="410" bestFit="1" customWidth="1"/>
    <col min="4128" max="4352" width="9" style="410" customWidth="1"/>
    <col min="4353" max="4379" width="3.125" style="410" customWidth="1"/>
    <col min="4380" max="4380" width="1.75" style="410" customWidth="1"/>
    <col min="4381" max="4381" width="9" style="410" customWidth="1"/>
    <col min="4382" max="4382" width="10.25" style="410" bestFit="1" customWidth="1"/>
    <col min="4383" max="4383" width="14.125" style="410" bestFit="1" customWidth="1"/>
    <col min="4384" max="4608" width="9" style="410" customWidth="1"/>
    <col min="4609" max="4635" width="3.125" style="410" customWidth="1"/>
    <col min="4636" max="4636" width="1.75" style="410" customWidth="1"/>
    <col min="4637" max="4637" width="9" style="410" customWidth="1"/>
    <col min="4638" max="4638" width="10.25" style="410" bestFit="1" customWidth="1"/>
    <col min="4639" max="4639" width="14.125" style="410" bestFit="1" customWidth="1"/>
    <col min="4640" max="4864" width="9" style="410" customWidth="1"/>
    <col min="4865" max="4891" width="3.125" style="410" customWidth="1"/>
    <col min="4892" max="4892" width="1.75" style="410" customWidth="1"/>
    <col min="4893" max="4893" width="9" style="410" customWidth="1"/>
    <col min="4894" max="4894" width="10.25" style="410" bestFit="1" customWidth="1"/>
    <col min="4895" max="4895" width="14.125" style="410" bestFit="1" customWidth="1"/>
    <col min="4896" max="5120" width="9" style="410" customWidth="1"/>
    <col min="5121" max="5147" width="3.125" style="410" customWidth="1"/>
    <col min="5148" max="5148" width="1.75" style="410" customWidth="1"/>
    <col min="5149" max="5149" width="9" style="410" customWidth="1"/>
    <col min="5150" max="5150" width="10.25" style="410" bestFit="1" customWidth="1"/>
    <col min="5151" max="5151" width="14.125" style="410" bestFit="1" customWidth="1"/>
    <col min="5152" max="5376" width="9" style="410" customWidth="1"/>
    <col min="5377" max="5403" width="3.125" style="410" customWidth="1"/>
    <col min="5404" max="5404" width="1.75" style="410" customWidth="1"/>
    <col min="5405" max="5405" width="9" style="410" customWidth="1"/>
    <col min="5406" max="5406" width="10.25" style="410" bestFit="1" customWidth="1"/>
    <col min="5407" max="5407" width="14.125" style="410" bestFit="1" customWidth="1"/>
    <col min="5408" max="5632" width="9" style="410" customWidth="1"/>
    <col min="5633" max="5659" width="3.125" style="410" customWidth="1"/>
    <col min="5660" max="5660" width="1.75" style="410" customWidth="1"/>
    <col min="5661" max="5661" width="9" style="410" customWidth="1"/>
    <col min="5662" max="5662" width="10.25" style="410" bestFit="1" customWidth="1"/>
    <col min="5663" max="5663" width="14.125" style="410" bestFit="1" customWidth="1"/>
    <col min="5664" max="5888" width="9" style="410" customWidth="1"/>
    <col min="5889" max="5915" width="3.125" style="410" customWidth="1"/>
    <col min="5916" max="5916" width="1.75" style="410" customWidth="1"/>
    <col min="5917" max="5917" width="9" style="410" customWidth="1"/>
    <col min="5918" max="5918" width="10.25" style="410" bestFit="1" customWidth="1"/>
    <col min="5919" max="5919" width="14.125" style="410" bestFit="1" customWidth="1"/>
    <col min="5920" max="6144" width="9" style="410" customWidth="1"/>
    <col min="6145" max="6171" width="3.125" style="410" customWidth="1"/>
    <col min="6172" max="6172" width="1.75" style="410" customWidth="1"/>
    <col min="6173" max="6173" width="9" style="410" customWidth="1"/>
    <col min="6174" max="6174" width="10.25" style="410" bestFit="1" customWidth="1"/>
    <col min="6175" max="6175" width="14.125" style="410" bestFit="1" customWidth="1"/>
    <col min="6176" max="6400" width="9" style="410" customWidth="1"/>
    <col min="6401" max="6427" width="3.125" style="410" customWidth="1"/>
    <col min="6428" max="6428" width="1.75" style="410" customWidth="1"/>
    <col min="6429" max="6429" width="9" style="410" customWidth="1"/>
    <col min="6430" max="6430" width="10.25" style="410" bestFit="1" customWidth="1"/>
    <col min="6431" max="6431" width="14.125" style="410" bestFit="1" customWidth="1"/>
    <col min="6432" max="6656" width="9" style="410" customWidth="1"/>
    <col min="6657" max="6683" width="3.125" style="410" customWidth="1"/>
    <col min="6684" max="6684" width="1.75" style="410" customWidth="1"/>
    <col min="6685" max="6685" width="9" style="410" customWidth="1"/>
    <col min="6686" max="6686" width="10.25" style="410" bestFit="1" customWidth="1"/>
    <col min="6687" max="6687" width="14.125" style="410" bestFit="1" customWidth="1"/>
    <col min="6688" max="6912" width="9" style="410" customWidth="1"/>
    <col min="6913" max="6939" width="3.125" style="410" customWidth="1"/>
    <col min="6940" max="6940" width="1.75" style="410" customWidth="1"/>
    <col min="6941" max="6941" width="9" style="410" customWidth="1"/>
    <col min="6942" max="6942" width="10.25" style="410" bestFit="1" customWidth="1"/>
    <col min="6943" max="6943" width="14.125" style="410" bestFit="1" customWidth="1"/>
    <col min="6944" max="7168" width="9" style="410" customWidth="1"/>
    <col min="7169" max="7195" width="3.125" style="410" customWidth="1"/>
    <col min="7196" max="7196" width="1.75" style="410" customWidth="1"/>
    <col min="7197" max="7197" width="9" style="410" customWidth="1"/>
    <col min="7198" max="7198" width="10.25" style="410" bestFit="1" customWidth="1"/>
    <col min="7199" max="7199" width="14.125" style="410" bestFit="1" customWidth="1"/>
    <col min="7200" max="7424" width="9" style="410" customWidth="1"/>
    <col min="7425" max="7451" width="3.125" style="410" customWidth="1"/>
    <col min="7452" max="7452" width="1.75" style="410" customWidth="1"/>
    <col min="7453" max="7453" width="9" style="410" customWidth="1"/>
    <col min="7454" max="7454" width="10.25" style="410" bestFit="1" customWidth="1"/>
    <col min="7455" max="7455" width="14.125" style="410" bestFit="1" customWidth="1"/>
    <col min="7456" max="7680" width="9" style="410" customWidth="1"/>
    <col min="7681" max="7707" width="3.125" style="410" customWidth="1"/>
    <col min="7708" max="7708" width="1.75" style="410" customWidth="1"/>
    <col min="7709" max="7709" width="9" style="410" customWidth="1"/>
    <col min="7710" max="7710" width="10.25" style="410" bestFit="1" customWidth="1"/>
    <col min="7711" max="7711" width="14.125" style="410" bestFit="1" customWidth="1"/>
    <col min="7712" max="7936" width="9" style="410" customWidth="1"/>
    <col min="7937" max="7963" width="3.125" style="410" customWidth="1"/>
    <col min="7964" max="7964" width="1.75" style="410" customWidth="1"/>
    <col min="7965" max="7965" width="9" style="410" customWidth="1"/>
    <col min="7966" max="7966" width="10.25" style="410" bestFit="1" customWidth="1"/>
    <col min="7967" max="7967" width="14.125" style="410" bestFit="1" customWidth="1"/>
    <col min="7968" max="8192" width="9" style="410" customWidth="1"/>
    <col min="8193" max="8219" width="3.125" style="410" customWidth="1"/>
    <col min="8220" max="8220" width="1.75" style="410" customWidth="1"/>
    <col min="8221" max="8221" width="9" style="410" customWidth="1"/>
    <col min="8222" max="8222" width="10.25" style="410" bestFit="1" customWidth="1"/>
    <col min="8223" max="8223" width="14.125" style="410" bestFit="1" customWidth="1"/>
    <col min="8224" max="8448" width="9" style="410" customWidth="1"/>
    <col min="8449" max="8475" width="3.125" style="410" customWidth="1"/>
    <col min="8476" max="8476" width="1.75" style="410" customWidth="1"/>
    <col min="8477" max="8477" width="9" style="410" customWidth="1"/>
    <col min="8478" max="8478" width="10.25" style="410" bestFit="1" customWidth="1"/>
    <col min="8479" max="8479" width="14.125" style="410" bestFit="1" customWidth="1"/>
    <col min="8480" max="8704" width="9" style="410" customWidth="1"/>
    <col min="8705" max="8731" width="3.125" style="410" customWidth="1"/>
    <col min="8732" max="8732" width="1.75" style="410" customWidth="1"/>
    <col min="8733" max="8733" width="9" style="410" customWidth="1"/>
    <col min="8734" max="8734" width="10.25" style="410" bestFit="1" customWidth="1"/>
    <col min="8735" max="8735" width="14.125" style="410" bestFit="1" customWidth="1"/>
    <col min="8736" max="8960" width="9" style="410" customWidth="1"/>
    <col min="8961" max="8987" width="3.125" style="410" customWidth="1"/>
    <col min="8988" max="8988" width="1.75" style="410" customWidth="1"/>
    <col min="8989" max="8989" width="9" style="410" customWidth="1"/>
    <col min="8990" max="8990" width="10.25" style="410" bestFit="1" customWidth="1"/>
    <col min="8991" max="8991" width="14.125" style="410" bestFit="1" customWidth="1"/>
    <col min="8992" max="9216" width="9" style="410" customWidth="1"/>
    <col min="9217" max="9243" width="3.125" style="410" customWidth="1"/>
    <col min="9244" max="9244" width="1.75" style="410" customWidth="1"/>
    <col min="9245" max="9245" width="9" style="410" customWidth="1"/>
    <col min="9246" max="9246" width="10.25" style="410" bestFit="1" customWidth="1"/>
    <col min="9247" max="9247" width="14.125" style="410" bestFit="1" customWidth="1"/>
    <col min="9248" max="9472" width="9" style="410" customWidth="1"/>
    <col min="9473" max="9499" width="3.125" style="410" customWidth="1"/>
    <col min="9500" max="9500" width="1.75" style="410" customWidth="1"/>
    <col min="9501" max="9501" width="9" style="410" customWidth="1"/>
    <col min="9502" max="9502" width="10.25" style="410" bestFit="1" customWidth="1"/>
    <col min="9503" max="9503" width="14.125" style="410" bestFit="1" customWidth="1"/>
    <col min="9504" max="9728" width="9" style="410" customWidth="1"/>
    <col min="9729" max="9755" width="3.125" style="410" customWidth="1"/>
    <col min="9756" max="9756" width="1.75" style="410" customWidth="1"/>
    <col min="9757" max="9757" width="9" style="410" customWidth="1"/>
    <col min="9758" max="9758" width="10.25" style="410" bestFit="1" customWidth="1"/>
    <col min="9759" max="9759" width="14.125" style="410" bestFit="1" customWidth="1"/>
    <col min="9760" max="9984" width="9" style="410" customWidth="1"/>
    <col min="9985" max="10011" width="3.125" style="410" customWidth="1"/>
    <col min="10012" max="10012" width="1.75" style="410" customWidth="1"/>
    <col min="10013" max="10013" width="9" style="410" customWidth="1"/>
    <col min="10014" max="10014" width="10.25" style="410" bestFit="1" customWidth="1"/>
    <col min="10015" max="10015" width="14.125" style="410" bestFit="1" customWidth="1"/>
    <col min="10016" max="10240" width="9" style="410" customWidth="1"/>
    <col min="10241" max="10267" width="3.125" style="410" customWidth="1"/>
    <col min="10268" max="10268" width="1.75" style="410" customWidth="1"/>
    <col min="10269" max="10269" width="9" style="410" customWidth="1"/>
    <col min="10270" max="10270" width="10.25" style="410" bestFit="1" customWidth="1"/>
    <col min="10271" max="10271" width="14.125" style="410" bestFit="1" customWidth="1"/>
    <col min="10272" max="10496" width="9" style="410" customWidth="1"/>
    <col min="10497" max="10523" width="3.125" style="410" customWidth="1"/>
    <col min="10524" max="10524" width="1.75" style="410" customWidth="1"/>
    <col min="10525" max="10525" width="9" style="410" customWidth="1"/>
    <col min="10526" max="10526" width="10.25" style="410" bestFit="1" customWidth="1"/>
    <col min="10527" max="10527" width="14.125" style="410" bestFit="1" customWidth="1"/>
    <col min="10528" max="10752" width="9" style="410" customWidth="1"/>
    <col min="10753" max="10779" width="3.125" style="410" customWidth="1"/>
    <col min="10780" max="10780" width="1.75" style="410" customWidth="1"/>
    <col min="10781" max="10781" width="9" style="410" customWidth="1"/>
    <col min="10782" max="10782" width="10.25" style="410" bestFit="1" customWidth="1"/>
    <col min="10783" max="10783" width="14.125" style="410" bestFit="1" customWidth="1"/>
    <col min="10784" max="11008" width="9" style="410" customWidth="1"/>
    <col min="11009" max="11035" width="3.125" style="410" customWidth="1"/>
    <col min="11036" max="11036" width="1.75" style="410" customWidth="1"/>
    <col min="11037" max="11037" width="9" style="410" customWidth="1"/>
    <col min="11038" max="11038" width="10.25" style="410" bestFit="1" customWidth="1"/>
    <col min="11039" max="11039" width="14.125" style="410" bestFit="1" customWidth="1"/>
    <col min="11040" max="11264" width="9" style="410" customWidth="1"/>
    <col min="11265" max="11291" width="3.125" style="410" customWidth="1"/>
    <col min="11292" max="11292" width="1.75" style="410" customWidth="1"/>
    <col min="11293" max="11293" width="9" style="410" customWidth="1"/>
    <col min="11294" max="11294" width="10.25" style="410" bestFit="1" customWidth="1"/>
    <col min="11295" max="11295" width="14.125" style="410" bestFit="1" customWidth="1"/>
    <col min="11296" max="11520" width="9" style="410" customWidth="1"/>
    <col min="11521" max="11547" width="3.125" style="410" customWidth="1"/>
    <col min="11548" max="11548" width="1.75" style="410" customWidth="1"/>
    <col min="11549" max="11549" width="9" style="410" customWidth="1"/>
    <col min="11550" max="11550" width="10.25" style="410" bestFit="1" customWidth="1"/>
    <col min="11551" max="11551" width="14.125" style="410" bestFit="1" customWidth="1"/>
    <col min="11552" max="11776" width="9" style="410" customWidth="1"/>
    <col min="11777" max="11803" width="3.125" style="410" customWidth="1"/>
    <col min="11804" max="11804" width="1.75" style="410" customWidth="1"/>
    <col min="11805" max="11805" width="9" style="410" customWidth="1"/>
    <col min="11806" max="11806" width="10.25" style="410" bestFit="1" customWidth="1"/>
    <col min="11807" max="11807" width="14.125" style="410" bestFit="1" customWidth="1"/>
    <col min="11808" max="12032" width="9" style="410" customWidth="1"/>
    <col min="12033" max="12059" width="3.125" style="410" customWidth="1"/>
    <col min="12060" max="12060" width="1.75" style="410" customWidth="1"/>
    <col min="12061" max="12061" width="9" style="410" customWidth="1"/>
    <col min="12062" max="12062" width="10.25" style="410" bestFit="1" customWidth="1"/>
    <col min="12063" max="12063" width="14.125" style="410" bestFit="1" customWidth="1"/>
    <col min="12064" max="12288" width="9" style="410" customWidth="1"/>
    <col min="12289" max="12315" width="3.125" style="410" customWidth="1"/>
    <col min="12316" max="12316" width="1.75" style="410" customWidth="1"/>
    <col min="12317" max="12317" width="9" style="410" customWidth="1"/>
    <col min="12318" max="12318" width="10.25" style="410" bestFit="1" customWidth="1"/>
    <col min="12319" max="12319" width="14.125" style="410" bestFit="1" customWidth="1"/>
    <col min="12320" max="12544" width="9" style="410" customWidth="1"/>
    <col min="12545" max="12571" width="3.125" style="410" customWidth="1"/>
    <col min="12572" max="12572" width="1.75" style="410" customWidth="1"/>
    <col min="12573" max="12573" width="9" style="410" customWidth="1"/>
    <col min="12574" max="12574" width="10.25" style="410" bestFit="1" customWidth="1"/>
    <col min="12575" max="12575" width="14.125" style="410" bestFit="1" customWidth="1"/>
    <col min="12576" max="12800" width="9" style="410" customWidth="1"/>
    <col min="12801" max="12827" width="3.125" style="410" customWidth="1"/>
    <col min="12828" max="12828" width="1.75" style="410" customWidth="1"/>
    <col min="12829" max="12829" width="9" style="410" customWidth="1"/>
    <col min="12830" max="12830" width="10.25" style="410" bestFit="1" customWidth="1"/>
    <col min="12831" max="12831" width="14.125" style="410" bestFit="1" customWidth="1"/>
    <col min="12832" max="13056" width="9" style="410" customWidth="1"/>
    <col min="13057" max="13083" width="3.125" style="410" customWidth="1"/>
    <col min="13084" max="13084" width="1.75" style="410" customWidth="1"/>
    <col min="13085" max="13085" width="9" style="410" customWidth="1"/>
    <col min="13086" max="13086" width="10.25" style="410" bestFit="1" customWidth="1"/>
    <col min="13087" max="13087" width="14.125" style="410" bestFit="1" customWidth="1"/>
    <col min="13088" max="13312" width="9" style="410" customWidth="1"/>
    <col min="13313" max="13339" width="3.125" style="410" customWidth="1"/>
    <col min="13340" max="13340" width="1.75" style="410" customWidth="1"/>
    <col min="13341" max="13341" width="9" style="410" customWidth="1"/>
    <col min="13342" max="13342" width="10.25" style="410" bestFit="1" customWidth="1"/>
    <col min="13343" max="13343" width="14.125" style="410" bestFit="1" customWidth="1"/>
    <col min="13344" max="13568" width="9" style="410" customWidth="1"/>
    <col min="13569" max="13595" width="3.125" style="410" customWidth="1"/>
    <col min="13596" max="13596" width="1.75" style="410" customWidth="1"/>
    <col min="13597" max="13597" width="9" style="410" customWidth="1"/>
    <col min="13598" max="13598" width="10.25" style="410" bestFit="1" customWidth="1"/>
    <col min="13599" max="13599" width="14.125" style="410" bestFit="1" customWidth="1"/>
    <col min="13600" max="13824" width="9" style="410" customWidth="1"/>
    <col min="13825" max="13851" width="3.125" style="410" customWidth="1"/>
    <col min="13852" max="13852" width="1.75" style="410" customWidth="1"/>
    <col min="13853" max="13853" width="9" style="410" customWidth="1"/>
    <col min="13854" max="13854" width="10.25" style="410" bestFit="1" customWidth="1"/>
    <col min="13855" max="13855" width="14.125" style="410" bestFit="1" customWidth="1"/>
    <col min="13856" max="14080" width="9" style="410" customWidth="1"/>
    <col min="14081" max="14107" width="3.125" style="410" customWidth="1"/>
    <col min="14108" max="14108" width="1.75" style="410" customWidth="1"/>
    <col min="14109" max="14109" width="9" style="410" customWidth="1"/>
    <col min="14110" max="14110" width="10.25" style="410" bestFit="1" customWidth="1"/>
    <col min="14111" max="14111" width="14.125" style="410" bestFit="1" customWidth="1"/>
    <col min="14112" max="14336" width="9" style="410" customWidth="1"/>
    <col min="14337" max="14363" width="3.125" style="410" customWidth="1"/>
    <col min="14364" max="14364" width="1.75" style="410" customWidth="1"/>
    <col min="14365" max="14365" width="9" style="410" customWidth="1"/>
    <col min="14366" max="14366" width="10.25" style="410" bestFit="1" customWidth="1"/>
    <col min="14367" max="14367" width="14.125" style="410" bestFit="1" customWidth="1"/>
    <col min="14368" max="14592" width="9" style="410" customWidth="1"/>
    <col min="14593" max="14619" width="3.125" style="410" customWidth="1"/>
    <col min="14620" max="14620" width="1.75" style="410" customWidth="1"/>
    <col min="14621" max="14621" width="9" style="410" customWidth="1"/>
    <col min="14622" max="14622" width="10.25" style="410" bestFit="1" customWidth="1"/>
    <col min="14623" max="14623" width="14.125" style="410" bestFit="1" customWidth="1"/>
    <col min="14624" max="14848" width="9" style="410" customWidth="1"/>
    <col min="14849" max="14875" width="3.125" style="410" customWidth="1"/>
    <col min="14876" max="14876" width="1.75" style="410" customWidth="1"/>
    <col min="14877" max="14877" width="9" style="410" customWidth="1"/>
    <col min="14878" max="14878" width="10.25" style="410" bestFit="1" customWidth="1"/>
    <col min="14879" max="14879" width="14.125" style="410" bestFit="1" customWidth="1"/>
    <col min="14880" max="15104" width="9" style="410" customWidth="1"/>
    <col min="15105" max="15131" width="3.125" style="410" customWidth="1"/>
    <col min="15132" max="15132" width="1.75" style="410" customWidth="1"/>
    <col min="15133" max="15133" width="9" style="410" customWidth="1"/>
    <col min="15134" max="15134" width="10.25" style="410" bestFit="1" customWidth="1"/>
    <col min="15135" max="15135" width="14.125" style="410" bestFit="1" customWidth="1"/>
    <col min="15136" max="15360" width="9" style="410" customWidth="1"/>
    <col min="15361" max="15387" width="3.125" style="410" customWidth="1"/>
    <col min="15388" max="15388" width="1.75" style="410" customWidth="1"/>
    <col min="15389" max="15389" width="9" style="410" customWidth="1"/>
    <col min="15390" max="15390" width="10.25" style="410" bestFit="1" customWidth="1"/>
    <col min="15391" max="15391" width="14.125" style="410" bestFit="1" customWidth="1"/>
    <col min="15392" max="15616" width="9" style="410" customWidth="1"/>
    <col min="15617" max="15643" width="3.125" style="410" customWidth="1"/>
    <col min="15644" max="15644" width="1.75" style="410" customWidth="1"/>
    <col min="15645" max="15645" width="9" style="410" customWidth="1"/>
    <col min="15646" max="15646" width="10.25" style="410" bestFit="1" customWidth="1"/>
    <col min="15647" max="15647" width="14.125" style="410" bestFit="1" customWidth="1"/>
    <col min="15648" max="15872" width="9" style="410" customWidth="1"/>
    <col min="15873" max="15899" width="3.125" style="410" customWidth="1"/>
    <col min="15900" max="15900" width="1.75" style="410" customWidth="1"/>
    <col min="15901" max="15901" width="9" style="410" customWidth="1"/>
    <col min="15902" max="15902" width="10.25" style="410" bestFit="1" customWidth="1"/>
    <col min="15903" max="15903" width="14.125" style="410" bestFit="1" customWidth="1"/>
    <col min="15904" max="16128" width="9" style="410" customWidth="1"/>
    <col min="16129" max="16155" width="3.125" style="410" customWidth="1"/>
    <col min="16156" max="16156" width="1.75" style="410" customWidth="1"/>
    <col min="16157" max="16157" width="9" style="410" customWidth="1"/>
    <col min="16158" max="16158" width="10.25" style="410" bestFit="1" customWidth="1"/>
    <col min="16159" max="16159" width="14.125" style="410" bestFit="1" customWidth="1"/>
    <col min="16160" max="16384" width="9" style="410" customWidth="1"/>
  </cols>
  <sheetData>
    <row r="1" spans="1:27" ht="6" customHeight="1"/>
    <row r="2" spans="1:27">
      <c r="A2" s="410" t="s">
        <v>5</v>
      </c>
    </row>
    <row r="4" spans="1:27">
      <c r="A4" s="549" t="s">
        <v>6</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row>
    <row r="5" spans="1:27" ht="30.75" customHeight="1">
      <c r="A5" s="550" t="s">
        <v>7</v>
      </c>
      <c r="B5" s="550"/>
      <c r="C5" s="550"/>
      <c r="D5" s="550"/>
      <c r="E5" s="550"/>
      <c r="F5" s="550"/>
      <c r="G5" s="550"/>
      <c r="H5" s="550"/>
      <c r="I5" s="550"/>
      <c r="J5" s="550"/>
      <c r="K5" s="550"/>
      <c r="L5" s="550"/>
      <c r="M5" s="550"/>
      <c r="N5" s="550"/>
      <c r="O5" s="550"/>
      <c r="P5" s="550"/>
      <c r="Q5" s="550"/>
      <c r="R5" s="550"/>
      <c r="S5" s="551"/>
      <c r="T5" s="551"/>
      <c r="U5" s="551"/>
      <c r="V5" s="551"/>
      <c r="W5" s="551"/>
      <c r="X5" s="551"/>
      <c r="Y5" s="551"/>
      <c r="Z5" s="551"/>
      <c r="AA5" s="551"/>
    </row>
    <row r="6" spans="1:27">
      <c r="A6" s="549" t="s">
        <v>8</v>
      </c>
      <c r="B6" s="549"/>
      <c r="C6" s="549"/>
      <c r="D6" s="549"/>
      <c r="E6" s="549"/>
      <c r="F6" s="549"/>
      <c r="G6" s="549"/>
      <c r="H6" s="549"/>
      <c r="I6" s="549"/>
      <c r="J6" s="549"/>
      <c r="K6" s="549"/>
      <c r="L6" s="549"/>
      <c r="M6" s="549"/>
      <c r="N6" s="549"/>
      <c r="O6" s="549"/>
      <c r="P6" s="549"/>
      <c r="Q6" s="549"/>
      <c r="R6" s="549"/>
      <c r="S6" s="552"/>
      <c r="T6" s="552"/>
      <c r="U6" s="552"/>
      <c r="V6" s="552"/>
      <c r="W6" s="552"/>
      <c r="X6" s="552"/>
      <c r="Y6" s="552"/>
      <c r="Z6" s="552"/>
      <c r="AA6" s="552"/>
    </row>
    <row r="8" spans="1:27" ht="18.75" customHeight="1">
      <c r="S8" s="522" t="str">
        <f>cst_wskakunin_SHINSEI_DATE</f>
        <v/>
      </c>
      <c r="T8" s="522"/>
      <c r="U8" s="522"/>
      <c r="V8" s="410" t="s">
        <v>464</v>
      </c>
      <c r="W8" s="421" t="str">
        <f>cst_wskakunin_SHINSEI_DATE</f>
        <v/>
      </c>
      <c r="X8" s="410" t="s">
        <v>1</v>
      </c>
      <c r="Y8" s="422" t="str">
        <f>cst_wskakunin_SHINSEI_DATE</f>
        <v/>
      </c>
      <c r="Z8" s="410" t="s">
        <v>465</v>
      </c>
    </row>
    <row r="9" spans="1:27" ht="15.75" customHeight="1"/>
    <row r="10" spans="1:27" ht="18" customHeight="1">
      <c r="A10" s="270"/>
      <c r="B10" s="553" t="str">
        <f>cst_wskakunin_BUILD_KEN__ken</f>
        <v>静岡県</v>
      </c>
      <c r="C10" s="554"/>
      <c r="D10" s="554"/>
      <c r="E10" s="554"/>
      <c r="F10" s="270" t="s">
        <v>9</v>
      </c>
      <c r="G10" s="270"/>
      <c r="H10" s="270"/>
      <c r="I10" s="270"/>
      <c r="J10" s="270"/>
      <c r="K10" s="270"/>
      <c r="L10" s="270"/>
      <c r="M10" s="270"/>
      <c r="N10" s="270"/>
      <c r="O10" s="270"/>
      <c r="P10" s="270"/>
      <c r="Q10" s="270"/>
      <c r="R10" s="270"/>
      <c r="S10" s="270"/>
      <c r="T10" s="270"/>
      <c r="U10" s="270"/>
      <c r="V10" s="270"/>
      <c r="W10" s="270"/>
      <c r="X10" s="270"/>
      <c r="Y10" s="270"/>
      <c r="Z10" s="270"/>
      <c r="AA10" s="270"/>
    </row>
    <row r="11" spans="1:27" ht="18" customHeight="1">
      <c r="A11" s="410" t="s">
        <v>10</v>
      </c>
    </row>
    <row r="12" spans="1:27" ht="18" customHeight="1">
      <c r="B12" s="552" t="s">
        <v>11</v>
      </c>
      <c r="C12" s="552"/>
      <c r="D12" s="552"/>
      <c r="E12" s="555" t="str">
        <f>cst_wskakunin_owner1__space3</f>
        <v>菅野　幸子</v>
      </c>
      <c r="F12" s="555"/>
      <c r="G12" s="555"/>
      <c r="H12" s="555"/>
      <c r="I12" s="555"/>
      <c r="J12" s="555"/>
      <c r="K12" s="555"/>
      <c r="L12" s="555"/>
      <c r="M12" s="555"/>
      <c r="N12" s="555"/>
      <c r="O12" s="555"/>
      <c r="P12" s="555"/>
      <c r="Q12" s="555"/>
      <c r="R12" s="555"/>
      <c r="S12" s="555"/>
      <c r="T12" s="555"/>
      <c r="U12" s="555"/>
      <c r="V12" s="555"/>
      <c r="W12" s="555"/>
      <c r="X12" s="555"/>
      <c r="Y12" s="555"/>
      <c r="Z12" s="552"/>
    </row>
    <row r="13" spans="1:27" ht="18" customHeight="1">
      <c r="B13" s="552"/>
      <c r="C13" s="552"/>
      <c r="D13" s="552"/>
      <c r="E13" s="555"/>
      <c r="F13" s="555"/>
      <c r="G13" s="555"/>
      <c r="H13" s="555"/>
      <c r="I13" s="555"/>
      <c r="J13" s="555"/>
      <c r="K13" s="555"/>
      <c r="L13" s="555"/>
      <c r="M13" s="555"/>
      <c r="N13" s="555"/>
      <c r="O13" s="555"/>
      <c r="P13" s="555"/>
      <c r="Q13" s="555"/>
      <c r="R13" s="555"/>
      <c r="S13" s="555"/>
      <c r="T13" s="555"/>
      <c r="U13" s="555"/>
      <c r="V13" s="555"/>
      <c r="W13" s="555"/>
      <c r="X13" s="555"/>
      <c r="Y13" s="555"/>
      <c r="Z13" s="552"/>
    </row>
    <row r="14" spans="1:27" ht="18" customHeight="1">
      <c r="B14" s="410" t="s">
        <v>12</v>
      </c>
      <c r="E14" s="547" t="str">
        <f>cst_wskakunin_owner1_ZIP</f>
        <v>420-0944</v>
      </c>
      <c r="F14" s="548"/>
      <c r="G14" s="548"/>
      <c r="H14" s="548"/>
      <c r="I14" s="548"/>
      <c r="J14" s="548"/>
    </row>
    <row r="15" spans="1:27" ht="18" customHeight="1">
      <c r="B15" s="410" t="s">
        <v>13</v>
      </c>
      <c r="E15" s="547" t="str">
        <f>cst_wskakunin_owner1__address</f>
        <v>静岡県静岡市葵区新伝馬二丁目8-41-101</v>
      </c>
      <c r="F15" s="556"/>
      <c r="G15" s="556"/>
      <c r="H15" s="556"/>
      <c r="I15" s="556"/>
      <c r="J15" s="556"/>
      <c r="K15" s="556"/>
      <c r="L15" s="556"/>
      <c r="M15" s="556"/>
      <c r="N15" s="556"/>
      <c r="O15" s="556"/>
      <c r="P15" s="556"/>
      <c r="Q15" s="556"/>
      <c r="R15" s="556"/>
      <c r="S15" s="556"/>
      <c r="T15" s="556"/>
      <c r="U15" s="556"/>
      <c r="V15" s="556"/>
      <c r="W15" s="556"/>
      <c r="X15" s="557"/>
      <c r="Y15" s="557"/>
      <c r="Z15" s="557"/>
      <c r="AA15" s="548"/>
    </row>
    <row r="16" spans="1:27" ht="18" customHeight="1">
      <c r="A16" s="270"/>
      <c r="B16" s="270" t="s">
        <v>14</v>
      </c>
      <c r="C16" s="270"/>
      <c r="D16" s="270"/>
      <c r="E16" s="558" t="str">
        <f>cst_wskakunin_owner1_TEL</f>
        <v>090-9183-9120</v>
      </c>
      <c r="F16" s="559"/>
      <c r="G16" s="559"/>
      <c r="H16" s="559"/>
      <c r="I16" s="559"/>
      <c r="J16" s="559"/>
      <c r="K16" s="559"/>
      <c r="L16" s="559"/>
      <c r="M16" s="270"/>
      <c r="N16" s="270"/>
      <c r="O16" s="270"/>
      <c r="P16" s="270"/>
      <c r="Q16" s="270"/>
      <c r="R16" s="270"/>
      <c r="S16" s="270"/>
      <c r="T16" s="270"/>
      <c r="U16" s="270"/>
      <c r="V16" s="270"/>
      <c r="W16" s="270"/>
      <c r="X16" s="270"/>
      <c r="Y16" s="270"/>
      <c r="Z16" s="270"/>
      <c r="AA16" s="270"/>
    </row>
    <row r="17" spans="1:27" ht="18" customHeight="1">
      <c r="A17" s="410" t="s">
        <v>15</v>
      </c>
    </row>
    <row r="18" spans="1:27" ht="18" customHeight="1">
      <c r="B18" s="410" t="s">
        <v>11</v>
      </c>
      <c r="E18" s="547" t="str">
        <f>cst_wskakunin_sekou1_NAME</f>
        <v>代表取締役　山田　耕治</v>
      </c>
      <c r="F18" s="548"/>
      <c r="G18" s="548"/>
      <c r="H18" s="548"/>
      <c r="I18" s="548"/>
      <c r="J18" s="548"/>
      <c r="K18" s="548"/>
      <c r="L18" s="548"/>
      <c r="M18" s="548"/>
      <c r="N18" s="548"/>
      <c r="O18" s="548"/>
      <c r="P18" s="548"/>
      <c r="Q18" s="548"/>
      <c r="R18" s="548"/>
      <c r="S18" s="548"/>
      <c r="T18" s="548"/>
      <c r="U18" s="548"/>
      <c r="V18" s="548"/>
      <c r="W18" s="548"/>
      <c r="X18" s="548"/>
      <c r="Y18" s="548"/>
      <c r="Z18" s="548"/>
      <c r="AA18" s="548"/>
    </row>
    <row r="19" spans="1:27" ht="18" customHeight="1">
      <c r="B19" s="410" t="s">
        <v>16</v>
      </c>
    </row>
    <row r="20" spans="1:27" ht="18" customHeight="1">
      <c r="E20" s="547" t="str">
        <f>cst_wskakunin_sekou1_JIMU_NAME</f>
        <v>株式会社　山田工務店</v>
      </c>
      <c r="F20" s="548"/>
      <c r="G20" s="548"/>
      <c r="H20" s="548"/>
      <c r="I20" s="548"/>
      <c r="J20" s="548"/>
      <c r="K20" s="548"/>
      <c r="L20" s="548"/>
      <c r="M20" s="548"/>
      <c r="N20" s="548"/>
      <c r="O20" s="548"/>
      <c r="P20" s="548"/>
      <c r="Q20" s="548"/>
      <c r="R20" s="548"/>
      <c r="S20" s="548"/>
      <c r="T20" s="548"/>
      <c r="U20" s="548"/>
      <c r="V20" s="548"/>
      <c r="W20" s="548"/>
      <c r="X20" s="548"/>
      <c r="Y20" s="548"/>
      <c r="Z20" s="548"/>
      <c r="AA20" s="548"/>
    </row>
    <row r="21" spans="1:27" ht="18" customHeight="1">
      <c r="B21" s="410" t="s">
        <v>12</v>
      </c>
      <c r="E21" s="547" t="str">
        <f>cst_wskakunin_sekou1_ZIP</f>
        <v>425-0074</v>
      </c>
      <c r="F21" s="548"/>
      <c r="G21" s="548"/>
      <c r="H21" s="548"/>
      <c r="I21" s="548"/>
      <c r="J21" s="548"/>
    </row>
    <row r="22" spans="1:27" ht="18" customHeight="1">
      <c r="B22" s="410" t="s">
        <v>17</v>
      </c>
      <c r="E22" s="547" t="str">
        <f>cst_wskakunin_sekou1__address</f>
        <v>静岡県焼津市柳新屋648-2</v>
      </c>
      <c r="F22" s="557"/>
      <c r="G22" s="557"/>
      <c r="H22" s="557"/>
      <c r="I22" s="557"/>
      <c r="J22" s="557"/>
      <c r="K22" s="557"/>
      <c r="L22" s="557"/>
      <c r="M22" s="557"/>
      <c r="N22" s="557"/>
      <c r="O22" s="557"/>
      <c r="P22" s="557"/>
      <c r="Q22" s="557"/>
      <c r="R22" s="557"/>
      <c r="S22" s="557"/>
      <c r="T22" s="557"/>
      <c r="U22" s="557"/>
      <c r="V22" s="557"/>
      <c r="W22" s="557"/>
      <c r="X22" s="557"/>
      <c r="Y22" s="557"/>
      <c r="Z22" s="557"/>
      <c r="AA22" s="548"/>
    </row>
    <row r="23" spans="1:27" ht="18" customHeight="1">
      <c r="A23" s="270"/>
      <c r="B23" s="270" t="s">
        <v>14</v>
      </c>
      <c r="C23" s="270"/>
      <c r="D23" s="270"/>
      <c r="E23" s="558" t="str">
        <f>cst_wskakunin_sekou1_TEL</f>
        <v>054-621-3838</v>
      </c>
      <c r="F23" s="559"/>
      <c r="G23" s="559"/>
      <c r="H23" s="559"/>
      <c r="I23" s="559"/>
      <c r="J23" s="559"/>
      <c r="K23" s="559"/>
      <c r="L23" s="559"/>
      <c r="M23" s="270"/>
      <c r="N23" s="270"/>
      <c r="O23" s="270"/>
      <c r="P23" s="270"/>
      <c r="Q23" s="270"/>
      <c r="R23" s="270"/>
      <c r="S23" s="270"/>
      <c r="T23" s="270"/>
      <c r="U23" s="270"/>
      <c r="V23" s="270"/>
      <c r="W23" s="270"/>
      <c r="X23" s="270"/>
      <c r="Y23" s="270"/>
      <c r="Z23" s="270"/>
      <c r="AA23" s="270"/>
    </row>
    <row r="24" spans="1:27" ht="18" customHeight="1">
      <c r="A24" s="410" t="s">
        <v>18</v>
      </c>
    </row>
    <row r="25" spans="1:27" ht="18" customHeight="1">
      <c r="B25" s="410" t="s">
        <v>11</v>
      </c>
      <c r="E25" s="547" t="str">
        <f>cst_wskakunin_kanri1_NAME</f>
        <v>川口　賢二</v>
      </c>
      <c r="F25" s="548"/>
      <c r="G25" s="548"/>
      <c r="H25" s="548"/>
      <c r="I25" s="548"/>
      <c r="J25" s="548"/>
      <c r="K25" s="548"/>
      <c r="L25" s="548"/>
      <c r="M25" s="548"/>
      <c r="N25" s="548"/>
      <c r="O25" s="548"/>
      <c r="P25" s="548"/>
      <c r="Q25" s="548"/>
      <c r="R25" s="548"/>
      <c r="S25" s="548"/>
      <c r="T25" s="548"/>
      <c r="U25" s="548"/>
      <c r="V25" s="548"/>
      <c r="W25" s="548"/>
      <c r="X25" s="548"/>
      <c r="Y25" s="548"/>
      <c r="Z25" s="548"/>
      <c r="AA25" s="548"/>
    </row>
    <row r="26" spans="1:27" ht="18" customHeight="1">
      <c r="B26" s="410" t="s">
        <v>16</v>
      </c>
    </row>
    <row r="27" spans="1:27" ht="18" customHeight="1">
      <c r="E27" s="547" t="str">
        <f>cst_wskakunin_kanri1_JIMU_NAME</f>
        <v>株式会社山田工務店　一級建築士事務所</v>
      </c>
      <c r="F27" s="548"/>
      <c r="G27" s="548"/>
      <c r="H27" s="548"/>
      <c r="I27" s="548"/>
      <c r="J27" s="548"/>
      <c r="K27" s="548"/>
      <c r="L27" s="548"/>
      <c r="M27" s="548"/>
      <c r="N27" s="548"/>
      <c r="O27" s="548"/>
      <c r="P27" s="548"/>
      <c r="Q27" s="548"/>
      <c r="R27" s="548"/>
      <c r="S27" s="548"/>
      <c r="T27" s="548"/>
      <c r="U27" s="548"/>
      <c r="V27" s="548"/>
      <c r="W27" s="548"/>
      <c r="X27" s="548"/>
      <c r="Y27" s="548"/>
      <c r="Z27" s="548"/>
      <c r="AA27" s="548"/>
    </row>
    <row r="28" spans="1:27" ht="18" customHeight="1">
      <c r="B28" s="410" t="s">
        <v>12</v>
      </c>
      <c r="E28" s="547" t="str">
        <f>cst_wskakunin_kanri1_ZIP</f>
        <v>425-0074</v>
      </c>
      <c r="F28" s="548"/>
      <c r="G28" s="548"/>
      <c r="H28" s="548"/>
      <c r="I28" s="548"/>
      <c r="J28" s="548"/>
    </row>
    <row r="29" spans="1:27" ht="18" customHeight="1">
      <c r="B29" s="410" t="s">
        <v>17</v>
      </c>
      <c r="E29" s="547" t="str">
        <f>cst_wskakunin_kanri1__address</f>
        <v>静岡県焼津市柳新屋648-2</v>
      </c>
      <c r="F29" s="557"/>
      <c r="G29" s="557"/>
      <c r="H29" s="557"/>
      <c r="I29" s="557"/>
      <c r="J29" s="557"/>
      <c r="K29" s="557"/>
      <c r="L29" s="557"/>
      <c r="M29" s="557"/>
      <c r="N29" s="557"/>
      <c r="O29" s="557"/>
      <c r="P29" s="557"/>
      <c r="Q29" s="557"/>
      <c r="R29" s="557"/>
      <c r="S29" s="557"/>
      <c r="T29" s="557"/>
      <c r="U29" s="557"/>
      <c r="V29" s="557"/>
      <c r="W29" s="557"/>
      <c r="X29" s="557"/>
      <c r="Y29" s="557"/>
      <c r="Z29" s="557"/>
      <c r="AA29" s="548"/>
    </row>
    <row r="30" spans="1:27" ht="18" customHeight="1">
      <c r="A30" s="270"/>
      <c r="B30" s="270" t="s">
        <v>14</v>
      </c>
      <c r="C30" s="270"/>
      <c r="D30" s="270"/>
      <c r="E30" s="558" t="str">
        <f>cst_wskakunin_kanri1_TEL</f>
        <v>054-621-5656</v>
      </c>
      <c r="F30" s="559"/>
      <c r="G30" s="559"/>
      <c r="H30" s="559"/>
      <c r="I30" s="559"/>
      <c r="J30" s="559"/>
      <c r="K30" s="559"/>
      <c r="L30" s="559"/>
      <c r="M30" s="270"/>
      <c r="N30" s="270"/>
      <c r="O30" s="270"/>
      <c r="P30" s="270"/>
      <c r="Q30" s="270"/>
      <c r="R30" s="270"/>
      <c r="S30" s="270"/>
      <c r="T30" s="270"/>
      <c r="U30" s="270"/>
      <c r="V30" s="270"/>
      <c r="W30" s="270"/>
      <c r="X30" s="270"/>
      <c r="Y30" s="270"/>
      <c r="Z30" s="270"/>
      <c r="AA30" s="270"/>
    </row>
    <row r="31" spans="1:27" ht="18" customHeight="1">
      <c r="A31" s="410" t="s">
        <v>19</v>
      </c>
      <c r="E31" s="410" t="s">
        <v>491</v>
      </c>
    </row>
    <row r="32" spans="1:27" ht="18" customHeight="1">
      <c r="B32" s="410" t="s">
        <v>20</v>
      </c>
      <c r="I32" s="271" t="str">
        <f>IF(COUNTIF(shinsei_ISSUE_NO,"*第*")&gt;0,"","第")</f>
        <v>第</v>
      </c>
      <c r="J32" s="562" t="str">
        <f>cst_shinsei_ISSUE_NO</f>
        <v/>
      </c>
      <c r="K32" s="563"/>
      <c r="L32" s="563"/>
      <c r="M32" s="563"/>
      <c r="N32" s="563"/>
      <c r="O32" s="563"/>
      <c r="P32" s="563"/>
      <c r="Q32" s="410" t="str">
        <f>IF(COUNTIF(shinsei_ISSUE_NO,"*号*")&gt;0,"","号")</f>
        <v>号</v>
      </c>
    </row>
    <row r="33" spans="1:27" ht="18" customHeight="1">
      <c r="B33" s="410" t="s">
        <v>21</v>
      </c>
      <c r="H33" s="579" t="str">
        <f>cst_shinsei_ISSUE_DATE</f>
        <v/>
      </c>
      <c r="I33" s="579"/>
      <c r="J33" s="579"/>
      <c r="K33" s="410" t="s">
        <v>464</v>
      </c>
      <c r="L33" s="411" t="str">
        <f>cst_shinsei_ISSUE_DATE</f>
        <v/>
      </c>
      <c r="M33" s="410" t="s">
        <v>1</v>
      </c>
      <c r="N33" s="412" t="str">
        <f>cst_shinsei_ISSUE_DATE</f>
        <v/>
      </c>
      <c r="O33" s="410" t="s">
        <v>465</v>
      </c>
    </row>
    <row r="34" spans="1:27" ht="18" customHeight="1">
      <c r="A34" s="270"/>
      <c r="B34" s="270" t="s">
        <v>22</v>
      </c>
      <c r="C34" s="270"/>
      <c r="D34" s="270"/>
      <c r="E34" s="270"/>
      <c r="F34" s="270"/>
      <c r="G34" s="270"/>
      <c r="H34" s="270"/>
      <c r="I34" s="564" t="str">
        <f>cst_shinsei_ISSUE_KOUFU_NAME</f>
        <v/>
      </c>
      <c r="J34" s="565"/>
      <c r="K34" s="565"/>
      <c r="L34" s="565"/>
      <c r="M34" s="565"/>
      <c r="N34" s="565"/>
      <c r="O34" s="565"/>
      <c r="P34" s="565"/>
      <c r="Q34" s="565"/>
      <c r="R34" s="565"/>
      <c r="S34" s="565"/>
      <c r="T34" s="565"/>
      <c r="U34" s="565"/>
      <c r="V34" s="565"/>
      <c r="W34" s="565"/>
      <c r="X34" s="565"/>
      <c r="Y34" s="565"/>
      <c r="Z34" s="565"/>
      <c r="AA34" s="270"/>
    </row>
    <row r="35" spans="1:27" ht="18" customHeight="1">
      <c r="A35" s="410" t="s">
        <v>23</v>
      </c>
    </row>
    <row r="36" spans="1:27" ht="18" customHeight="1">
      <c r="B36" s="410" t="s">
        <v>11</v>
      </c>
      <c r="E36" s="560"/>
      <c r="F36" s="561"/>
      <c r="G36" s="561"/>
      <c r="H36" s="561"/>
      <c r="I36" s="561"/>
      <c r="J36" s="561"/>
      <c r="K36" s="561"/>
      <c r="L36" s="561"/>
      <c r="M36" s="561"/>
      <c r="N36" s="561"/>
      <c r="O36" s="561"/>
      <c r="P36" s="561"/>
      <c r="Q36" s="561"/>
      <c r="R36" s="561"/>
      <c r="S36" s="561"/>
      <c r="T36" s="561"/>
      <c r="U36" s="561"/>
      <c r="V36" s="561"/>
      <c r="W36" s="561"/>
      <c r="X36" s="561"/>
    </row>
    <row r="37" spans="1:27" ht="18" customHeight="1">
      <c r="B37" s="410" t="s">
        <v>24</v>
      </c>
      <c r="E37" s="560"/>
      <c r="F37" s="561"/>
      <c r="G37" s="561"/>
      <c r="H37" s="561"/>
      <c r="I37" s="561"/>
      <c r="J37" s="561"/>
      <c r="K37" s="561"/>
      <c r="L37" s="561"/>
      <c r="M37" s="561"/>
      <c r="N37" s="561"/>
      <c r="O37" s="561"/>
      <c r="P37" s="561"/>
      <c r="Q37" s="561"/>
      <c r="R37" s="561"/>
      <c r="S37" s="561"/>
      <c r="T37" s="561"/>
      <c r="U37" s="561"/>
      <c r="V37" s="561"/>
      <c r="W37" s="561"/>
      <c r="X37" s="561"/>
    </row>
    <row r="38" spans="1:27" ht="18" customHeight="1">
      <c r="B38" s="410" t="s">
        <v>12</v>
      </c>
      <c r="E38" s="560"/>
      <c r="F38" s="561"/>
      <c r="G38" s="561"/>
      <c r="H38" s="561"/>
      <c r="I38" s="561"/>
      <c r="J38" s="561"/>
    </row>
    <row r="39" spans="1:27" ht="18" customHeight="1">
      <c r="B39" s="410" t="s">
        <v>17</v>
      </c>
      <c r="E39" s="560"/>
      <c r="F39" s="561"/>
      <c r="G39" s="561"/>
      <c r="H39" s="561"/>
      <c r="I39" s="561"/>
      <c r="J39" s="561"/>
      <c r="K39" s="561"/>
      <c r="L39" s="561"/>
      <c r="M39" s="561"/>
      <c r="N39" s="561"/>
      <c r="O39" s="561"/>
      <c r="P39" s="561"/>
      <c r="Q39" s="561"/>
      <c r="R39" s="561"/>
      <c r="S39" s="561"/>
      <c r="T39" s="561"/>
      <c r="U39" s="561"/>
      <c r="V39" s="561"/>
      <c r="W39" s="561"/>
      <c r="X39" s="561"/>
      <c r="Y39" s="561"/>
    </row>
    <row r="40" spans="1:27" ht="18" customHeight="1">
      <c r="A40" s="270"/>
      <c r="B40" s="270" t="s">
        <v>14</v>
      </c>
      <c r="C40" s="270"/>
      <c r="D40" s="270"/>
      <c r="E40" s="568"/>
      <c r="F40" s="569"/>
      <c r="G40" s="569"/>
      <c r="H40" s="569"/>
      <c r="I40" s="569"/>
      <c r="J40" s="569"/>
      <c r="K40" s="569"/>
      <c r="L40" s="569"/>
      <c r="M40" s="270"/>
      <c r="N40" s="270"/>
      <c r="O40" s="270"/>
      <c r="P40" s="270"/>
      <c r="Q40" s="270"/>
      <c r="R40" s="270"/>
      <c r="S40" s="270"/>
      <c r="T40" s="270"/>
      <c r="U40" s="270"/>
      <c r="V40" s="270"/>
      <c r="W40" s="270"/>
      <c r="X40" s="270"/>
      <c r="Y40" s="270"/>
      <c r="Z40" s="270"/>
      <c r="AA40" s="270"/>
    </row>
    <row r="41" spans="1:27" ht="18" customHeight="1">
      <c r="A41" s="410" t="s">
        <v>25</v>
      </c>
    </row>
    <row r="42" spans="1:27" ht="15.75" customHeight="1"/>
    <row r="43" spans="1:27" ht="15.75" customHeight="1"/>
    <row r="44" spans="1:27">
      <c r="A44" s="570" t="s">
        <v>26</v>
      </c>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row>
    <row r="45" spans="1:27" ht="16.5" customHeight="1">
      <c r="A45" s="410" t="s">
        <v>3046</v>
      </c>
    </row>
    <row r="46" spans="1:27" ht="16.5" customHeight="1">
      <c r="B46" s="410" t="s">
        <v>3047</v>
      </c>
      <c r="K46" s="580" t="str">
        <f>cst_wskakunin_KOUJI_TYAKUSYU_YOTEI_DATE</f>
        <v/>
      </c>
      <c r="L46" s="580"/>
      <c r="M46" s="580"/>
      <c r="N46" s="410" t="s">
        <v>464</v>
      </c>
      <c r="O46" s="413" t="str">
        <f>cst_wskakunin_KOUJI_TYAKUSYU_YOTEI_DATE</f>
        <v/>
      </c>
      <c r="P46" s="410" t="s">
        <v>1</v>
      </c>
      <c r="Q46" s="414" t="str">
        <f>cst_wskakunin_KOUJI_TYAKUSYU_YOTEI_DATE</f>
        <v/>
      </c>
      <c r="R46" s="410" t="s">
        <v>465</v>
      </c>
    </row>
    <row r="47" spans="1:27" ht="16.5" customHeight="1">
      <c r="A47" s="270"/>
      <c r="B47" s="270" t="s">
        <v>3048</v>
      </c>
      <c r="C47" s="270"/>
      <c r="D47" s="270"/>
      <c r="E47" s="270"/>
      <c r="F47" s="270"/>
      <c r="G47" s="270"/>
      <c r="H47" s="270"/>
      <c r="I47" s="270"/>
      <c r="J47" s="270"/>
      <c r="K47" s="581">
        <f>cst_wskakunin_KOUJI_KANRYOU_YOTEI_DATE</f>
        <v>45088</v>
      </c>
      <c r="L47" s="581"/>
      <c r="M47" s="581"/>
      <c r="N47" s="270" t="s">
        <v>464</v>
      </c>
      <c r="O47" s="415">
        <f>cst_wskakunin_KOUJI_KANRYOU_YOTEI_DATE</f>
        <v>45088</v>
      </c>
      <c r="P47" s="270" t="s">
        <v>1</v>
      </c>
      <c r="Q47" s="416">
        <f>cst_wskakunin_KOUJI_KANRYOU_YOTEI_DATE</f>
        <v>45088</v>
      </c>
      <c r="R47" s="270" t="s">
        <v>465</v>
      </c>
      <c r="S47" s="270"/>
      <c r="T47" s="270"/>
      <c r="U47" s="270"/>
      <c r="V47" s="270"/>
      <c r="W47" s="270"/>
      <c r="X47" s="270"/>
      <c r="Y47" s="270"/>
      <c r="Z47" s="270"/>
      <c r="AA47" s="270"/>
    </row>
    <row r="48" spans="1:27" ht="16.5" customHeight="1">
      <c r="A48" s="410" t="s">
        <v>3049</v>
      </c>
    </row>
    <row r="49" spans="1:42" ht="16.5" customHeight="1">
      <c r="B49" s="410" t="s">
        <v>3050</v>
      </c>
      <c r="I49" s="407" t="s">
        <v>505</v>
      </c>
      <c r="J49" s="410" t="s">
        <v>27</v>
      </c>
      <c r="M49" s="407" t="s">
        <v>505</v>
      </c>
      <c r="N49" s="410" t="s">
        <v>28</v>
      </c>
      <c r="T49" s="407" t="s">
        <v>505</v>
      </c>
      <c r="U49" s="410" t="s">
        <v>29</v>
      </c>
    </row>
    <row r="50" spans="1:42" ht="16.5" customHeight="1">
      <c r="I50" s="407" t="s">
        <v>505</v>
      </c>
      <c r="J50" s="410" t="s">
        <v>30</v>
      </c>
      <c r="M50" s="407" t="s">
        <v>505</v>
      </c>
      <c r="N50" s="410" t="s">
        <v>31</v>
      </c>
      <c r="T50" s="407" t="s">
        <v>505</v>
      </c>
      <c r="U50" s="410" t="s">
        <v>32</v>
      </c>
    </row>
    <row r="51" spans="1:42" ht="15" customHeight="1">
      <c r="B51" s="410" t="s">
        <v>3051</v>
      </c>
      <c r="K51" s="407" t="s">
        <v>505</v>
      </c>
      <c r="L51" s="410" t="s">
        <v>3052</v>
      </c>
      <c r="R51" s="407" t="s">
        <v>505</v>
      </c>
      <c r="S51" s="410" t="s">
        <v>3053</v>
      </c>
    </row>
    <row r="52" spans="1:42" ht="15" customHeight="1">
      <c r="K52" s="407" t="s">
        <v>505</v>
      </c>
      <c r="L52" s="410" t="s">
        <v>3054</v>
      </c>
    </row>
    <row r="53" spans="1:42" ht="15" customHeight="1">
      <c r="A53" s="270"/>
      <c r="B53" s="270"/>
      <c r="C53" s="270"/>
      <c r="D53" s="270"/>
      <c r="E53" s="270"/>
      <c r="F53" s="270"/>
      <c r="G53" s="270"/>
      <c r="H53" s="270"/>
      <c r="I53" s="270"/>
      <c r="J53" s="270"/>
      <c r="K53" s="408" t="s">
        <v>505</v>
      </c>
      <c r="L53" s="270" t="s">
        <v>3055</v>
      </c>
      <c r="M53" s="270"/>
      <c r="N53" s="270"/>
      <c r="O53" s="270"/>
      <c r="P53" s="270"/>
      <c r="Q53" s="270"/>
      <c r="R53" s="270"/>
      <c r="S53" s="270"/>
      <c r="T53" s="408" t="s">
        <v>505</v>
      </c>
      <c r="U53" s="270" t="s">
        <v>3056</v>
      </c>
      <c r="V53" s="270"/>
      <c r="W53" s="270"/>
      <c r="X53" s="270"/>
      <c r="Y53" s="270"/>
      <c r="Z53" s="270"/>
      <c r="AA53" s="270"/>
    </row>
    <row r="54" spans="1:42" ht="16.5" customHeight="1">
      <c r="A54" s="410" t="s">
        <v>3057</v>
      </c>
    </row>
    <row r="55" spans="1:42" ht="16.5" customHeight="1">
      <c r="B55" s="410" t="s">
        <v>33</v>
      </c>
      <c r="G55" s="571" t="str">
        <f>cst_wskakunin_BUILD__address</f>
        <v>静岡県静岡市葵区平和二丁目215-8</v>
      </c>
      <c r="H55" s="571"/>
      <c r="I55" s="571"/>
      <c r="J55" s="571"/>
      <c r="K55" s="571"/>
      <c r="L55" s="571"/>
      <c r="M55" s="571"/>
      <c r="N55" s="571"/>
      <c r="O55" s="571"/>
      <c r="P55" s="571"/>
      <c r="Q55" s="571"/>
      <c r="R55" s="571"/>
      <c r="S55" s="571"/>
      <c r="T55" s="571"/>
      <c r="U55" s="571"/>
      <c r="V55" s="571"/>
      <c r="W55" s="571"/>
      <c r="X55" s="571"/>
      <c r="Y55" s="571"/>
      <c r="Z55" s="571"/>
      <c r="AA55" s="571"/>
      <c r="AB55" s="571"/>
    </row>
    <row r="56" spans="1:42" ht="16.5" customHeight="1">
      <c r="G56" s="572"/>
      <c r="H56" s="572"/>
      <c r="I56" s="572"/>
      <c r="J56" s="572"/>
      <c r="K56" s="572"/>
      <c r="L56" s="572"/>
      <c r="M56" s="572"/>
      <c r="N56" s="572"/>
      <c r="O56" s="572"/>
      <c r="P56" s="572"/>
      <c r="Q56" s="572"/>
      <c r="R56" s="572"/>
      <c r="S56" s="572"/>
      <c r="T56" s="572"/>
      <c r="U56" s="572"/>
      <c r="V56" s="572"/>
      <c r="W56" s="572"/>
      <c r="X56" s="572"/>
      <c r="Y56" s="572"/>
      <c r="Z56" s="572"/>
      <c r="AA56" s="572"/>
      <c r="AB56" s="572"/>
    </row>
    <row r="57" spans="1:42" ht="16.5" customHeight="1">
      <c r="G57" s="572"/>
      <c r="H57" s="572"/>
      <c r="I57" s="572"/>
      <c r="J57" s="572"/>
      <c r="K57" s="572"/>
      <c r="L57" s="572"/>
      <c r="M57" s="572"/>
      <c r="N57" s="572"/>
      <c r="O57" s="572"/>
      <c r="P57" s="572"/>
      <c r="Q57" s="572"/>
      <c r="R57" s="572"/>
      <c r="S57" s="572"/>
      <c r="T57" s="572"/>
      <c r="U57" s="572"/>
      <c r="V57" s="572"/>
      <c r="W57" s="572"/>
      <c r="X57" s="572"/>
      <c r="Y57" s="572"/>
      <c r="Z57" s="572"/>
      <c r="AA57" s="572"/>
      <c r="AB57" s="572"/>
    </row>
    <row r="58" spans="1:42" ht="16.5" customHeight="1">
      <c r="B58" s="410" t="s">
        <v>34</v>
      </c>
      <c r="G58" s="272" t="str">
        <f>IF(cst_wskakunin_KUIKI_SIGAIKA="■","☑","□")</f>
        <v>□</v>
      </c>
      <c r="H58" s="410" t="s">
        <v>35</v>
      </c>
      <c r="N58" s="272" t="str">
        <f>IF(cst_wskakunin_KUIKI_TYOSEI="■","☑","□")</f>
        <v>□</v>
      </c>
      <c r="O58" s="410" t="s">
        <v>36</v>
      </c>
    </row>
    <row r="59" spans="1:42" ht="16.5" customHeight="1">
      <c r="G59" s="272" t="str">
        <f>IF(cst_wskakunin_KUIKI_HISETTEI="■","☑","□")</f>
        <v>□</v>
      </c>
      <c r="H59" s="410" t="s">
        <v>37</v>
      </c>
      <c r="R59" s="272" t="str">
        <f>IF(cst_wskakunin_KUIKI_JYUN_TOSHI="■","☑","□")</f>
        <v>□</v>
      </c>
      <c r="S59" s="410" t="s">
        <v>38</v>
      </c>
    </row>
    <row r="60" spans="1:42" ht="16.5" customHeight="1">
      <c r="A60" s="270"/>
      <c r="B60" s="270"/>
      <c r="C60" s="270"/>
      <c r="D60" s="270"/>
      <c r="E60" s="270"/>
      <c r="F60" s="270"/>
      <c r="G60" s="273" t="str">
        <f>IF(cst_wskakunin_KUIKI_KUIKIGAI="■","☑","□")</f>
        <v>□</v>
      </c>
      <c r="H60" s="270" t="s">
        <v>39</v>
      </c>
      <c r="I60" s="270"/>
      <c r="J60" s="270"/>
      <c r="K60" s="270"/>
      <c r="L60" s="270"/>
      <c r="M60" s="270"/>
      <c r="N60" s="270"/>
      <c r="O60" s="270"/>
      <c r="P60" s="270"/>
      <c r="Q60" s="270"/>
      <c r="R60" s="270"/>
      <c r="S60" s="270"/>
      <c r="T60" s="270"/>
      <c r="U60" s="270"/>
      <c r="V60" s="270"/>
      <c r="W60" s="270"/>
      <c r="X60" s="270"/>
      <c r="Y60" s="270"/>
      <c r="Z60" s="270"/>
      <c r="AA60" s="270"/>
      <c r="AF60" s="410" t="s">
        <v>3088</v>
      </c>
    </row>
    <row r="61" spans="1:42" ht="16.5" customHeight="1">
      <c r="A61" s="274" t="s">
        <v>40</v>
      </c>
      <c r="B61" s="274"/>
      <c r="C61" s="274"/>
      <c r="D61" s="274"/>
      <c r="E61" s="274"/>
      <c r="F61" s="275" t="str">
        <f>IF(cst_wskakunin_KOUJI_SINTIKU_box="■","☑","□")</f>
        <v>☑</v>
      </c>
      <c r="G61" s="274" t="s">
        <v>41</v>
      </c>
      <c r="H61" s="274"/>
      <c r="I61" s="274"/>
      <c r="J61" s="274"/>
      <c r="K61" s="275" t="str">
        <f>IF(cst_wskakunin_KOUJI_ZOUTIKU_box="■","☑","□")</f>
        <v>□</v>
      </c>
      <c r="L61" s="274" t="s">
        <v>42</v>
      </c>
      <c r="M61" s="274"/>
      <c r="N61" s="274"/>
      <c r="O61" s="274"/>
      <c r="P61" s="275" t="str">
        <f>IF(cst_wskakunin_KOUJI_KAITIKU_box="■","☑","□")</f>
        <v>□</v>
      </c>
      <c r="Q61" s="274" t="s">
        <v>43</v>
      </c>
      <c r="R61" s="274"/>
      <c r="S61" s="274"/>
      <c r="T61" s="274"/>
      <c r="U61" s="275" t="str">
        <f>IF(cst_wskakunin_KOUJI_ITEN_box="■","☑","□")</f>
        <v>□</v>
      </c>
      <c r="V61" s="274" t="s">
        <v>44</v>
      </c>
      <c r="W61" s="274"/>
      <c r="X61" s="274"/>
      <c r="Y61" s="274"/>
      <c r="Z61" s="274"/>
      <c r="AA61" s="274"/>
      <c r="AF61" s="546" t="s">
        <v>2874</v>
      </c>
      <c r="AG61" s="546"/>
      <c r="AH61" s="546"/>
      <c r="AI61" s="546"/>
      <c r="AJ61" s="546"/>
      <c r="AK61" s="546"/>
      <c r="AL61" s="546"/>
      <c r="AM61" s="546"/>
      <c r="AN61" s="546"/>
      <c r="AO61" s="546"/>
      <c r="AP61" s="417" t="s">
        <v>2875</v>
      </c>
    </row>
    <row r="62" spans="1:42" ht="16.5" customHeight="1">
      <c r="A62" s="410" t="s">
        <v>45</v>
      </c>
      <c r="G62" s="410" t="s">
        <v>46</v>
      </c>
      <c r="N62" s="271" t="s">
        <v>3</v>
      </c>
      <c r="O62" s="573"/>
      <c r="P62" s="574"/>
      <c r="Q62" s="410" t="s">
        <v>4</v>
      </c>
      <c r="R62" s="575" t="str">
        <f>居住専用建築物テキスト</f>
        <v/>
      </c>
      <c r="S62" s="576"/>
      <c r="T62" s="576"/>
      <c r="U62" s="576"/>
      <c r="V62" s="576"/>
      <c r="W62" s="576"/>
      <c r="X62" s="576"/>
      <c r="Y62" s="576"/>
      <c r="Z62" s="576"/>
      <c r="AA62" s="576"/>
      <c r="AF62" s="545" t="s">
        <v>2876</v>
      </c>
      <c r="AG62" s="545"/>
      <c r="AH62" s="545"/>
      <c r="AI62" s="545"/>
      <c r="AJ62" s="545"/>
      <c r="AK62" s="545"/>
      <c r="AL62" s="545"/>
      <c r="AM62" s="545"/>
      <c r="AN62" s="545"/>
      <c r="AO62" s="545"/>
      <c r="AP62" s="418" t="s">
        <v>237</v>
      </c>
    </row>
    <row r="63" spans="1:42" ht="16.5" customHeight="1">
      <c r="G63" s="410" t="s">
        <v>47</v>
      </c>
      <c r="N63" s="271" t="s">
        <v>3</v>
      </c>
      <c r="O63" s="577"/>
      <c r="P63" s="578"/>
      <c r="Q63" s="410" t="s">
        <v>4</v>
      </c>
      <c r="R63" s="560" t="str">
        <f>居住産業併用建築物テキスト</f>
        <v/>
      </c>
      <c r="S63" s="561"/>
      <c r="T63" s="561"/>
      <c r="U63" s="561"/>
      <c r="V63" s="561"/>
      <c r="W63" s="561"/>
      <c r="X63" s="561"/>
      <c r="Y63" s="561"/>
      <c r="Z63" s="561"/>
      <c r="AA63" s="561"/>
      <c r="AF63" s="545" t="s">
        <v>2877</v>
      </c>
      <c r="AG63" s="545"/>
      <c r="AH63" s="545"/>
      <c r="AI63" s="545"/>
      <c r="AJ63" s="545"/>
      <c r="AK63" s="545"/>
      <c r="AL63" s="545"/>
      <c r="AM63" s="545"/>
      <c r="AN63" s="545"/>
      <c r="AO63" s="545"/>
      <c r="AP63" s="418" t="s">
        <v>248</v>
      </c>
    </row>
    <row r="64" spans="1:42" ht="16.5" customHeight="1">
      <c r="A64" s="270"/>
      <c r="B64" s="270"/>
      <c r="C64" s="270"/>
      <c r="D64" s="270"/>
      <c r="E64" s="270"/>
      <c r="F64" s="270"/>
      <c r="G64" s="270" t="s">
        <v>48</v>
      </c>
      <c r="H64" s="270"/>
      <c r="I64" s="270"/>
      <c r="J64" s="270"/>
      <c r="K64" s="270"/>
      <c r="L64" s="270"/>
      <c r="M64" s="270"/>
      <c r="N64" s="276" t="s">
        <v>3</v>
      </c>
      <c r="O64" s="566"/>
      <c r="P64" s="567"/>
      <c r="Q64" s="270" t="s">
        <v>4</v>
      </c>
      <c r="R64" s="568" t="str">
        <f>産業専用建築物テキスト</f>
        <v/>
      </c>
      <c r="S64" s="569"/>
      <c r="T64" s="569"/>
      <c r="U64" s="569"/>
      <c r="V64" s="569"/>
      <c r="W64" s="569"/>
      <c r="X64" s="569"/>
      <c r="Y64" s="569"/>
      <c r="Z64" s="569"/>
      <c r="AA64" s="569"/>
      <c r="AF64" s="545" t="s">
        <v>2878</v>
      </c>
      <c r="AG64" s="545"/>
      <c r="AH64" s="545"/>
      <c r="AI64" s="545"/>
      <c r="AJ64" s="545"/>
      <c r="AK64" s="545"/>
      <c r="AL64" s="545"/>
      <c r="AM64" s="545"/>
      <c r="AN64" s="545"/>
      <c r="AO64" s="545"/>
      <c r="AP64" s="418" t="s">
        <v>259</v>
      </c>
    </row>
    <row r="65" spans="1:42" ht="16.5" customHeight="1">
      <c r="A65" s="410" t="s">
        <v>49</v>
      </c>
      <c r="AF65" s="545" t="s">
        <v>2879</v>
      </c>
      <c r="AG65" s="545"/>
      <c r="AH65" s="545"/>
      <c r="AI65" s="545"/>
      <c r="AJ65" s="545"/>
      <c r="AK65" s="545"/>
      <c r="AL65" s="545"/>
      <c r="AM65" s="545"/>
      <c r="AN65" s="545"/>
      <c r="AO65" s="545"/>
      <c r="AP65" s="418" t="s">
        <v>268</v>
      </c>
    </row>
    <row r="66" spans="1:42" ht="16.5" customHeight="1">
      <c r="B66" s="410" t="s">
        <v>50</v>
      </c>
      <c r="F66" s="271"/>
      <c r="H66" s="271" t="s">
        <v>3</v>
      </c>
      <c r="I66" s="582" t="str">
        <f>IF(AND(I92="",I94=""),"",1)</f>
        <v/>
      </c>
      <c r="J66" s="583"/>
      <c r="K66" s="583"/>
      <c r="L66" s="583"/>
      <c r="M66" s="583"/>
      <c r="N66" s="410" t="s">
        <v>51</v>
      </c>
      <c r="O66" s="271" t="s">
        <v>3</v>
      </c>
      <c r="P66" s="584" t="str">
        <f>IF(AND(P92="",P94=""),"",2)</f>
        <v/>
      </c>
      <c r="Q66" s="583"/>
      <c r="R66" s="583"/>
      <c r="S66" s="583"/>
      <c r="T66" s="583"/>
      <c r="U66" s="410" t="s">
        <v>51</v>
      </c>
      <c r="V66" s="271" t="s">
        <v>3</v>
      </c>
      <c r="W66" s="584" t="str">
        <f>IF(AND(W92="",W94=""),"",3)</f>
        <v/>
      </c>
      <c r="X66" s="583"/>
      <c r="Y66" s="583"/>
      <c r="Z66" s="583"/>
      <c r="AA66" s="583"/>
      <c r="AB66" s="410" t="s">
        <v>51</v>
      </c>
      <c r="AF66" s="545" t="s">
        <v>2880</v>
      </c>
      <c r="AG66" s="545"/>
      <c r="AH66" s="545"/>
      <c r="AI66" s="545"/>
      <c r="AJ66" s="545"/>
      <c r="AK66" s="545"/>
      <c r="AL66" s="545"/>
      <c r="AM66" s="545"/>
      <c r="AN66" s="545"/>
      <c r="AO66" s="545"/>
      <c r="AP66" s="418" t="s">
        <v>278</v>
      </c>
    </row>
    <row r="67" spans="1:42" ht="16.5" customHeight="1">
      <c r="B67" s="410" t="s">
        <v>52</v>
      </c>
      <c r="H67" s="407" t="s">
        <v>505</v>
      </c>
      <c r="I67" s="410" t="s">
        <v>53</v>
      </c>
      <c r="J67" s="410" t="s">
        <v>54</v>
      </c>
      <c r="O67" s="407" t="s">
        <v>505</v>
      </c>
      <c r="P67" s="410" t="s">
        <v>53</v>
      </c>
      <c r="Q67" s="410" t="s">
        <v>54</v>
      </c>
      <c r="V67" s="407" t="s">
        <v>505</v>
      </c>
      <c r="W67" s="410" t="s">
        <v>53</v>
      </c>
      <c r="X67" s="410" t="s">
        <v>54</v>
      </c>
    </row>
    <row r="68" spans="1:42" ht="15" customHeight="1">
      <c r="H68" s="407" t="s">
        <v>505</v>
      </c>
      <c r="I68" s="410" t="s">
        <v>55</v>
      </c>
      <c r="J68" s="410" t="s">
        <v>56</v>
      </c>
      <c r="O68" s="407" t="s">
        <v>505</v>
      </c>
      <c r="P68" s="410" t="s">
        <v>55</v>
      </c>
      <c r="Q68" s="410" t="s">
        <v>56</v>
      </c>
      <c r="V68" s="407" t="s">
        <v>505</v>
      </c>
      <c r="W68" s="410" t="s">
        <v>55</v>
      </c>
      <c r="X68" s="410" t="s">
        <v>56</v>
      </c>
      <c r="AF68" s="410" t="s">
        <v>3089</v>
      </c>
    </row>
    <row r="69" spans="1:42" ht="15" customHeight="1">
      <c r="J69" s="410" t="s">
        <v>57</v>
      </c>
      <c r="Q69" s="410" t="s">
        <v>57</v>
      </c>
      <c r="X69" s="410" t="s">
        <v>57</v>
      </c>
      <c r="AF69" s="546" t="s">
        <v>2874</v>
      </c>
      <c r="AG69" s="546"/>
      <c r="AH69" s="546"/>
      <c r="AI69" s="546"/>
      <c r="AJ69" s="546"/>
      <c r="AK69" s="546"/>
      <c r="AL69" s="546"/>
      <c r="AM69" s="546"/>
      <c r="AN69" s="546"/>
      <c r="AO69" s="546"/>
      <c r="AP69" s="417" t="s">
        <v>2875</v>
      </c>
    </row>
    <row r="70" spans="1:42" ht="15" customHeight="1">
      <c r="H70" s="407" t="s">
        <v>505</v>
      </c>
      <c r="I70" s="410" t="s">
        <v>58</v>
      </c>
      <c r="J70" s="410" t="s">
        <v>59</v>
      </c>
      <c r="O70" s="407" t="s">
        <v>505</v>
      </c>
      <c r="P70" s="410" t="s">
        <v>58</v>
      </c>
      <c r="Q70" s="410" t="s">
        <v>59</v>
      </c>
      <c r="V70" s="407" t="s">
        <v>505</v>
      </c>
      <c r="W70" s="410" t="s">
        <v>58</v>
      </c>
      <c r="X70" s="410" t="s">
        <v>59</v>
      </c>
      <c r="AF70" s="534" t="s">
        <v>2881</v>
      </c>
      <c r="AG70" s="534"/>
      <c r="AH70" s="534"/>
      <c r="AI70" s="534" t="s">
        <v>2882</v>
      </c>
      <c r="AJ70" s="534"/>
      <c r="AK70" s="534"/>
      <c r="AL70" s="534"/>
      <c r="AM70" s="534"/>
      <c r="AN70" s="534"/>
      <c r="AO70" s="534"/>
      <c r="AP70" s="418" t="s">
        <v>3090</v>
      </c>
    </row>
    <row r="71" spans="1:42" ht="15" customHeight="1">
      <c r="H71" s="407" t="s">
        <v>505</v>
      </c>
      <c r="I71" s="410" t="s">
        <v>60</v>
      </c>
      <c r="J71" s="410" t="s">
        <v>61</v>
      </c>
      <c r="O71" s="407" t="s">
        <v>505</v>
      </c>
      <c r="P71" s="410" t="s">
        <v>60</v>
      </c>
      <c r="Q71" s="410" t="s">
        <v>61</v>
      </c>
      <c r="V71" s="407" t="s">
        <v>505</v>
      </c>
      <c r="W71" s="410" t="s">
        <v>60</v>
      </c>
      <c r="X71" s="410" t="s">
        <v>61</v>
      </c>
      <c r="AF71" s="541" t="s">
        <v>2883</v>
      </c>
      <c r="AG71" s="541"/>
      <c r="AH71" s="541"/>
      <c r="AI71" s="534" t="s">
        <v>2884</v>
      </c>
      <c r="AJ71" s="534"/>
      <c r="AK71" s="534"/>
      <c r="AL71" s="534"/>
      <c r="AM71" s="534"/>
      <c r="AN71" s="534"/>
      <c r="AO71" s="534"/>
      <c r="AP71" s="418" t="s">
        <v>3091</v>
      </c>
    </row>
    <row r="72" spans="1:42" ht="15" customHeight="1">
      <c r="H72" s="407" t="s">
        <v>505</v>
      </c>
      <c r="I72" s="410" t="s">
        <v>62</v>
      </c>
      <c r="J72" s="410" t="s">
        <v>63</v>
      </c>
      <c r="O72" s="407" t="s">
        <v>505</v>
      </c>
      <c r="P72" s="410" t="s">
        <v>62</v>
      </c>
      <c r="Q72" s="410" t="s">
        <v>63</v>
      </c>
      <c r="V72" s="407" t="s">
        <v>505</v>
      </c>
      <c r="W72" s="410" t="s">
        <v>62</v>
      </c>
      <c r="X72" s="410" t="s">
        <v>63</v>
      </c>
      <c r="AF72" s="541"/>
      <c r="AG72" s="541"/>
      <c r="AH72" s="541"/>
      <c r="AI72" s="534" t="s">
        <v>2885</v>
      </c>
      <c r="AJ72" s="534"/>
      <c r="AK72" s="534"/>
      <c r="AL72" s="534"/>
      <c r="AM72" s="534"/>
      <c r="AN72" s="534"/>
      <c r="AO72" s="534"/>
      <c r="AP72" s="418" t="s">
        <v>3092</v>
      </c>
    </row>
    <row r="73" spans="1:42" ht="15" customHeight="1">
      <c r="H73" s="407" t="s">
        <v>505</v>
      </c>
      <c r="I73" s="410" t="s">
        <v>64</v>
      </c>
      <c r="J73" s="410" t="s">
        <v>65</v>
      </c>
      <c r="O73" s="407" t="s">
        <v>505</v>
      </c>
      <c r="P73" s="410" t="s">
        <v>64</v>
      </c>
      <c r="Q73" s="410" t="s">
        <v>65</v>
      </c>
      <c r="V73" s="407" t="s">
        <v>505</v>
      </c>
      <c r="W73" s="410" t="s">
        <v>64</v>
      </c>
      <c r="X73" s="410" t="s">
        <v>65</v>
      </c>
      <c r="AF73" s="528" t="s">
        <v>2886</v>
      </c>
      <c r="AG73" s="528"/>
      <c r="AH73" s="528"/>
      <c r="AI73" s="539" t="s">
        <v>3093</v>
      </c>
      <c r="AJ73" s="539"/>
      <c r="AK73" s="539"/>
      <c r="AL73" s="539"/>
      <c r="AM73" s="539"/>
      <c r="AN73" s="539"/>
      <c r="AO73" s="539"/>
      <c r="AP73" s="523" t="s">
        <v>3094</v>
      </c>
    </row>
    <row r="74" spans="1:42" ht="15" customHeight="1">
      <c r="H74" s="407" t="s">
        <v>505</v>
      </c>
      <c r="I74" s="410" t="s">
        <v>66</v>
      </c>
      <c r="J74" s="410" t="s">
        <v>2</v>
      </c>
      <c r="O74" s="407" t="s">
        <v>505</v>
      </c>
      <c r="P74" s="410" t="s">
        <v>66</v>
      </c>
      <c r="Q74" s="410" t="s">
        <v>2</v>
      </c>
      <c r="V74" s="407" t="s">
        <v>505</v>
      </c>
      <c r="W74" s="410" t="s">
        <v>66</v>
      </c>
      <c r="X74" s="410" t="s">
        <v>2</v>
      </c>
      <c r="AF74" s="528"/>
      <c r="AG74" s="528"/>
      <c r="AH74" s="528"/>
      <c r="AI74" s="539"/>
      <c r="AJ74" s="539"/>
      <c r="AK74" s="539"/>
      <c r="AL74" s="539"/>
      <c r="AM74" s="539"/>
      <c r="AN74" s="539"/>
      <c r="AO74" s="539"/>
      <c r="AP74" s="523"/>
    </row>
    <row r="75" spans="1:42" ht="15" customHeight="1">
      <c r="H75" s="407" t="s">
        <v>505</v>
      </c>
      <c r="I75" s="410" t="s">
        <v>3058</v>
      </c>
      <c r="O75" s="407" t="s">
        <v>505</v>
      </c>
      <c r="P75" s="410" t="s">
        <v>3058</v>
      </c>
      <c r="V75" s="407" t="s">
        <v>505</v>
      </c>
      <c r="W75" s="410" t="s">
        <v>3058</v>
      </c>
      <c r="AF75" s="528"/>
      <c r="AG75" s="528"/>
      <c r="AH75" s="528"/>
      <c r="AI75" s="539"/>
      <c r="AJ75" s="539"/>
      <c r="AK75" s="539"/>
      <c r="AL75" s="539"/>
      <c r="AM75" s="539"/>
      <c r="AN75" s="539"/>
      <c r="AO75" s="539"/>
      <c r="AP75" s="523"/>
    </row>
    <row r="76" spans="1:42" ht="15" customHeight="1">
      <c r="B76" s="410" t="s">
        <v>67</v>
      </c>
      <c r="H76" s="407" t="s">
        <v>505</v>
      </c>
      <c r="I76" s="410" t="s">
        <v>53</v>
      </c>
      <c r="J76" s="410" t="s">
        <v>68</v>
      </c>
      <c r="O76" s="407" t="s">
        <v>505</v>
      </c>
      <c r="P76" s="410" t="s">
        <v>53</v>
      </c>
      <c r="Q76" s="410" t="s">
        <v>68</v>
      </c>
      <c r="V76" s="407" t="s">
        <v>505</v>
      </c>
      <c r="W76" s="410" t="s">
        <v>53</v>
      </c>
      <c r="X76" s="410" t="s">
        <v>68</v>
      </c>
      <c r="AF76" s="528"/>
      <c r="AG76" s="528"/>
      <c r="AH76" s="528"/>
      <c r="AI76" s="539"/>
      <c r="AJ76" s="539"/>
      <c r="AK76" s="539"/>
      <c r="AL76" s="539"/>
      <c r="AM76" s="539"/>
      <c r="AN76" s="539"/>
      <c r="AO76" s="539"/>
      <c r="AP76" s="523"/>
    </row>
    <row r="77" spans="1:42" ht="15" customHeight="1">
      <c r="H77" s="407" t="s">
        <v>505</v>
      </c>
      <c r="I77" s="410" t="s">
        <v>55</v>
      </c>
      <c r="J77" s="410" t="s">
        <v>69</v>
      </c>
      <c r="O77" s="407" t="s">
        <v>505</v>
      </c>
      <c r="P77" s="410" t="s">
        <v>55</v>
      </c>
      <c r="Q77" s="410" t="s">
        <v>69</v>
      </c>
      <c r="V77" s="407" t="s">
        <v>505</v>
      </c>
      <c r="W77" s="410" t="s">
        <v>55</v>
      </c>
      <c r="X77" s="410" t="s">
        <v>69</v>
      </c>
      <c r="AF77" s="528"/>
      <c r="AG77" s="528"/>
      <c r="AH77" s="528"/>
      <c r="AI77" s="534" t="s">
        <v>2888</v>
      </c>
      <c r="AJ77" s="534"/>
      <c r="AK77" s="534"/>
      <c r="AL77" s="534"/>
      <c r="AM77" s="534"/>
      <c r="AN77" s="534"/>
      <c r="AO77" s="534"/>
      <c r="AP77" s="418" t="s">
        <v>3095</v>
      </c>
    </row>
    <row r="78" spans="1:42" ht="15" customHeight="1">
      <c r="J78" s="410" t="s">
        <v>70</v>
      </c>
      <c r="Q78" s="410" t="s">
        <v>70</v>
      </c>
      <c r="X78" s="410" t="s">
        <v>70</v>
      </c>
      <c r="AF78" s="528"/>
      <c r="AG78" s="528"/>
      <c r="AH78" s="528"/>
      <c r="AI78" s="534" t="s">
        <v>2889</v>
      </c>
      <c r="AJ78" s="534"/>
      <c r="AK78" s="534"/>
      <c r="AL78" s="534"/>
      <c r="AM78" s="534"/>
      <c r="AN78" s="534"/>
      <c r="AO78" s="544"/>
      <c r="AP78" s="418" t="s">
        <v>3096</v>
      </c>
    </row>
    <row r="79" spans="1:42" ht="15" customHeight="1">
      <c r="H79" s="407" t="s">
        <v>505</v>
      </c>
      <c r="I79" s="410" t="s">
        <v>58</v>
      </c>
      <c r="J79" s="410" t="s">
        <v>71</v>
      </c>
      <c r="O79" s="407" t="s">
        <v>505</v>
      </c>
      <c r="P79" s="410" t="s">
        <v>58</v>
      </c>
      <c r="Q79" s="410" t="s">
        <v>71</v>
      </c>
      <c r="V79" s="407" t="s">
        <v>505</v>
      </c>
      <c r="W79" s="410" t="s">
        <v>58</v>
      </c>
      <c r="X79" s="410" t="s">
        <v>71</v>
      </c>
      <c r="AF79" s="528"/>
      <c r="AG79" s="528"/>
      <c r="AH79" s="528"/>
      <c r="AI79" s="541" t="s">
        <v>2890</v>
      </c>
      <c r="AJ79" s="541"/>
      <c r="AK79" s="541"/>
      <c r="AL79" s="541"/>
      <c r="AM79" s="541"/>
      <c r="AN79" s="541"/>
      <c r="AO79" s="541"/>
      <c r="AP79" s="523" t="s">
        <v>3097</v>
      </c>
    </row>
    <row r="80" spans="1:42" ht="15" customHeight="1">
      <c r="J80" s="410" t="s">
        <v>72</v>
      </c>
      <c r="Q80" s="410" t="s">
        <v>72</v>
      </c>
      <c r="X80" s="410" t="s">
        <v>72</v>
      </c>
      <c r="AF80" s="528"/>
      <c r="AG80" s="528"/>
      <c r="AH80" s="528"/>
      <c r="AI80" s="541"/>
      <c r="AJ80" s="541"/>
      <c r="AK80" s="541"/>
      <c r="AL80" s="541"/>
      <c r="AM80" s="541"/>
      <c r="AN80" s="541"/>
      <c r="AO80" s="541"/>
      <c r="AP80" s="523"/>
    </row>
    <row r="81" spans="1:42" ht="15" customHeight="1">
      <c r="H81" s="407" t="s">
        <v>505</v>
      </c>
      <c r="I81" s="410" t="s">
        <v>60</v>
      </c>
      <c r="J81" s="410" t="s">
        <v>73</v>
      </c>
      <c r="O81" s="407" t="s">
        <v>505</v>
      </c>
      <c r="P81" s="410" t="s">
        <v>60</v>
      </c>
      <c r="Q81" s="410" t="s">
        <v>73</v>
      </c>
      <c r="V81" s="407" t="s">
        <v>505</v>
      </c>
      <c r="W81" s="410" t="s">
        <v>60</v>
      </c>
      <c r="X81" s="410" t="s">
        <v>73</v>
      </c>
      <c r="AF81" s="528"/>
      <c r="AG81" s="528"/>
      <c r="AH81" s="528"/>
      <c r="AI81" s="541"/>
      <c r="AJ81" s="541"/>
      <c r="AK81" s="541"/>
      <c r="AL81" s="541"/>
      <c r="AM81" s="541"/>
      <c r="AN81" s="541"/>
      <c r="AO81" s="541"/>
      <c r="AP81" s="523"/>
    </row>
    <row r="82" spans="1:42" ht="15" customHeight="1">
      <c r="H82" s="407" t="s">
        <v>505</v>
      </c>
      <c r="I82" s="410" t="s">
        <v>62</v>
      </c>
      <c r="J82" s="410" t="s">
        <v>74</v>
      </c>
      <c r="O82" s="407" t="s">
        <v>505</v>
      </c>
      <c r="P82" s="410" t="s">
        <v>62</v>
      </c>
      <c r="Q82" s="410" t="s">
        <v>74</v>
      </c>
      <c r="V82" s="407" t="s">
        <v>505</v>
      </c>
      <c r="W82" s="410" t="s">
        <v>62</v>
      </c>
      <c r="X82" s="410" t="s">
        <v>74</v>
      </c>
      <c r="AF82" s="528"/>
      <c r="AG82" s="528"/>
      <c r="AH82" s="528"/>
      <c r="AI82" s="539" t="s">
        <v>2891</v>
      </c>
      <c r="AJ82" s="539"/>
      <c r="AK82" s="539"/>
      <c r="AL82" s="539"/>
      <c r="AM82" s="539"/>
      <c r="AN82" s="539"/>
      <c r="AO82" s="539"/>
      <c r="AP82" s="418" t="s">
        <v>3098</v>
      </c>
    </row>
    <row r="83" spans="1:42" ht="15" customHeight="1">
      <c r="J83" s="410" t="s">
        <v>75</v>
      </c>
      <c r="Q83" s="410" t="s">
        <v>75</v>
      </c>
      <c r="X83" s="410" t="s">
        <v>75</v>
      </c>
      <c r="AF83" s="539" t="s">
        <v>2892</v>
      </c>
      <c r="AG83" s="539"/>
      <c r="AH83" s="539"/>
      <c r="AI83" s="534" t="s">
        <v>2893</v>
      </c>
      <c r="AJ83" s="534"/>
      <c r="AK83" s="534"/>
      <c r="AL83" s="534"/>
      <c r="AM83" s="534"/>
      <c r="AN83" s="534"/>
      <c r="AO83" s="534"/>
      <c r="AP83" s="418" t="s">
        <v>3099</v>
      </c>
    </row>
    <row r="84" spans="1:42" ht="15" customHeight="1">
      <c r="H84" s="407" t="s">
        <v>505</v>
      </c>
      <c r="I84" s="410" t="s">
        <v>64</v>
      </c>
      <c r="J84" s="410" t="s">
        <v>2</v>
      </c>
      <c r="O84" s="407" t="s">
        <v>505</v>
      </c>
      <c r="P84" s="410" t="s">
        <v>64</v>
      </c>
      <c r="Q84" s="410" t="s">
        <v>2</v>
      </c>
      <c r="V84" s="407" t="s">
        <v>505</v>
      </c>
      <c r="W84" s="410" t="s">
        <v>64</v>
      </c>
      <c r="X84" s="410" t="s">
        <v>2</v>
      </c>
      <c r="AF84" s="539"/>
      <c r="AG84" s="539"/>
      <c r="AH84" s="539"/>
      <c r="AI84" s="534" t="s">
        <v>2894</v>
      </c>
      <c r="AJ84" s="534"/>
      <c r="AK84" s="534"/>
      <c r="AL84" s="534"/>
      <c r="AM84" s="534"/>
      <c r="AN84" s="534"/>
      <c r="AO84" s="534"/>
      <c r="AP84" s="418" t="s">
        <v>3100</v>
      </c>
    </row>
    <row r="85" spans="1:42" ht="15" customHeight="1">
      <c r="B85" s="410" t="s">
        <v>3059</v>
      </c>
      <c r="AF85" s="539"/>
      <c r="AG85" s="539"/>
      <c r="AH85" s="539"/>
      <c r="AI85" s="534" t="s">
        <v>2895</v>
      </c>
      <c r="AJ85" s="534"/>
      <c r="AK85" s="534"/>
      <c r="AL85" s="534"/>
      <c r="AM85" s="534"/>
      <c r="AN85" s="534"/>
      <c r="AO85" s="534"/>
      <c r="AP85" s="418" t="s">
        <v>3101</v>
      </c>
    </row>
    <row r="86" spans="1:42" ht="15" customHeight="1">
      <c r="H86" s="271" t="s">
        <v>3</v>
      </c>
      <c r="I86" s="584"/>
      <c r="J86" s="585"/>
      <c r="K86" s="585"/>
      <c r="L86" s="585"/>
      <c r="M86" s="410" t="s">
        <v>3060</v>
      </c>
      <c r="O86" s="271" t="s">
        <v>3</v>
      </c>
      <c r="P86" s="584"/>
      <c r="Q86" s="585"/>
      <c r="R86" s="585"/>
      <c r="S86" s="585"/>
      <c r="T86" s="410" t="s">
        <v>3060</v>
      </c>
      <c r="V86" s="271" t="s">
        <v>3</v>
      </c>
      <c r="W86" s="584"/>
      <c r="X86" s="584"/>
      <c r="Y86" s="584"/>
      <c r="Z86" s="584"/>
      <c r="AA86" s="410" t="s">
        <v>3060</v>
      </c>
      <c r="AF86" s="539"/>
      <c r="AG86" s="539"/>
      <c r="AH86" s="539"/>
      <c r="AI86" s="534" t="s">
        <v>2896</v>
      </c>
      <c r="AJ86" s="534"/>
      <c r="AK86" s="534"/>
      <c r="AL86" s="534"/>
      <c r="AM86" s="534"/>
      <c r="AN86" s="534"/>
      <c r="AO86" s="534"/>
      <c r="AP86" s="418" t="s">
        <v>3102</v>
      </c>
    </row>
    <row r="87" spans="1:42" ht="16.5" customHeight="1">
      <c r="B87" s="410" t="s">
        <v>3061</v>
      </c>
      <c r="AF87" s="528" t="s">
        <v>2897</v>
      </c>
      <c r="AG87" s="528"/>
      <c r="AH87" s="528"/>
      <c r="AI87" s="534" t="s">
        <v>2898</v>
      </c>
      <c r="AJ87" s="534"/>
      <c r="AK87" s="534"/>
      <c r="AL87" s="534"/>
      <c r="AM87" s="534"/>
      <c r="AN87" s="534"/>
      <c r="AO87" s="534"/>
      <c r="AP87" s="418" t="s">
        <v>3103</v>
      </c>
    </row>
    <row r="88" spans="1:42" ht="15.75" customHeight="1">
      <c r="C88" s="410" t="s">
        <v>76</v>
      </c>
      <c r="H88" s="271" t="s">
        <v>3</v>
      </c>
      <c r="I88" s="586" t="str">
        <f>cst_wskakunin_p4_1_YUKA_MENSEKI_SHINSEI</f>
        <v/>
      </c>
      <c r="J88" s="587"/>
      <c r="K88" s="587"/>
      <c r="L88" s="587"/>
      <c r="M88" s="587"/>
      <c r="N88" s="410" t="s">
        <v>3236</v>
      </c>
      <c r="O88" s="271" t="s">
        <v>3</v>
      </c>
      <c r="P88" s="586" t="str">
        <f>cst_wskakunin_p4_2_YUKA_MENSEKI_SHINSEI</f>
        <v/>
      </c>
      <c r="Q88" s="587"/>
      <c r="R88" s="587"/>
      <c r="S88" s="587"/>
      <c r="T88" s="587"/>
      <c r="U88" s="410" t="s">
        <v>3236</v>
      </c>
      <c r="V88" s="271" t="s">
        <v>3</v>
      </c>
      <c r="W88" s="588" t="str">
        <f>cst_wskakunin_p4_3_YUKA_MENSEKI_SHINSEI</f>
        <v/>
      </c>
      <c r="X88" s="588"/>
      <c r="Y88" s="588"/>
      <c r="Z88" s="588"/>
      <c r="AA88" s="549" t="s">
        <v>3236</v>
      </c>
      <c r="AB88" s="549"/>
      <c r="AF88" s="528"/>
      <c r="AG88" s="528"/>
      <c r="AH88" s="528"/>
      <c r="AI88" s="536" t="s">
        <v>2899</v>
      </c>
      <c r="AJ88" s="536"/>
      <c r="AK88" s="536"/>
      <c r="AL88" s="536"/>
      <c r="AM88" s="536"/>
      <c r="AN88" s="536"/>
      <c r="AO88" s="536"/>
      <c r="AP88" s="418" t="s">
        <v>3104</v>
      </c>
    </row>
    <row r="89" spans="1:42" ht="16.5" customHeight="1">
      <c r="B89" s="410" t="s">
        <v>3062</v>
      </c>
      <c r="I89" s="271"/>
      <c r="O89" s="271"/>
      <c r="V89" s="271"/>
      <c r="AF89" s="528"/>
      <c r="AG89" s="528"/>
      <c r="AH89" s="528"/>
      <c r="AI89" s="536" t="s">
        <v>3105</v>
      </c>
      <c r="AJ89" s="536"/>
      <c r="AK89" s="536"/>
      <c r="AL89" s="536"/>
      <c r="AM89" s="536"/>
      <c r="AN89" s="536"/>
      <c r="AO89" s="536"/>
      <c r="AP89" s="418" t="s">
        <v>3106</v>
      </c>
    </row>
    <row r="90" spans="1:42" ht="16.5" customHeight="1">
      <c r="H90" s="271" t="s">
        <v>3</v>
      </c>
      <c r="I90" s="584"/>
      <c r="J90" s="585"/>
      <c r="K90" s="585"/>
      <c r="L90" s="585"/>
      <c r="M90" s="410" t="s">
        <v>77</v>
      </c>
      <c r="O90" s="271" t="s">
        <v>3</v>
      </c>
      <c r="P90" s="584"/>
      <c r="Q90" s="585"/>
      <c r="R90" s="585"/>
      <c r="S90" s="585"/>
      <c r="T90" s="410" t="s">
        <v>77</v>
      </c>
      <c r="V90" s="271" t="s">
        <v>3</v>
      </c>
      <c r="W90" s="584"/>
      <c r="X90" s="584"/>
      <c r="Y90" s="584"/>
      <c r="Z90" s="584"/>
      <c r="AA90" s="410" t="s">
        <v>77</v>
      </c>
      <c r="AF90" s="528"/>
      <c r="AG90" s="528"/>
      <c r="AH90" s="528"/>
      <c r="AI90" s="536" t="s">
        <v>3107</v>
      </c>
      <c r="AJ90" s="524"/>
      <c r="AK90" s="524"/>
      <c r="AL90" s="524"/>
      <c r="AM90" s="524"/>
      <c r="AN90" s="524"/>
      <c r="AO90" s="524"/>
      <c r="AP90" s="418" t="s">
        <v>3108</v>
      </c>
    </row>
    <row r="91" spans="1:42" ht="16.5" customHeight="1">
      <c r="B91" s="410" t="s">
        <v>3063</v>
      </c>
      <c r="AF91" s="539" t="s">
        <v>2902</v>
      </c>
      <c r="AG91" s="539"/>
      <c r="AH91" s="539"/>
      <c r="AI91" s="541" t="s">
        <v>2903</v>
      </c>
      <c r="AJ91" s="541"/>
      <c r="AK91" s="541"/>
      <c r="AL91" s="541"/>
      <c r="AM91" s="541"/>
      <c r="AN91" s="541"/>
      <c r="AO91" s="541"/>
      <c r="AP91" s="542" t="s">
        <v>3109</v>
      </c>
    </row>
    <row r="92" spans="1:42" ht="16.5" customHeight="1">
      <c r="H92" s="271" t="s">
        <v>3</v>
      </c>
      <c r="I92" s="589" t="str">
        <f>cst_wskakunin_p4_1_KAISU_TIKAI_NOZOKU</f>
        <v/>
      </c>
      <c r="J92" s="589"/>
      <c r="K92" s="589"/>
      <c r="L92" s="589"/>
      <c r="M92" s="589"/>
      <c r="N92" s="410" t="s">
        <v>51</v>
      </c>
      <c r="O92" s="271" t="s">
        <v>3</v>
      </c>
      <c r="P92" s="589" t="str">
        <f>cst_wskakunin_p4_2_KAISU_TIKAI_NOZOKU</f>
        <v/>
      </c>
      <c r="Q92" s="589"/>
      <c r="R92" s="589"/>
      <c r="S92" s="589"/>
      <c r="T92" s="589"/>
      <c r="U92" s="410" t="s">
        <v>51</v>
      </c>
      <c r="V92" s="271" t="s">
        <v>3</v>
      </c>
      <c r="W92" s="589" t="str">
        <f>cst_wskakunin_p4_3_KAISU_TIKAI_NOZOKU</f>
        <v/>
      </c>
      <c r="X92" s="589"/>
      <c r="Y92" s="589"/>
      <c r="Z92" s="589"/>
      <c r="AA92" s="589"/>
      <c r="AB92" s="410" t="s">
        <v>51</v>
      </c>
      <c r="AF92" s="540"/>
      <c r="AG92" s="540"/>
      <c r="AH92" s="540"/>
      <c r="AI92" s="541"/>
      <c r="AJ92" s="541"/>
      <c r="AK92" s="541"/>
      <c r="AL92" s="541"/>
      <c r="AM92" s="541"/>
      <c r="AN92" s="541"/>
      <c r="AO92" s="541"/>
      <c r="AP92" s="543"/>
    </row>
    <row r="93" spans="1:42" ht="16.5" customHeight="1">
      <c r="B93" s="410" t="s">
        <v>3064</v>
      </c>
      <c r="AF93" s="524" t="s">
        <v>3110</v>
      </c>
      <c r="AG93" s="524"/>
      <c r="AH93" s="524"/>
      <c r="AI93" s="524" t="s">
        <v>3111</v>
      </c>
      <c r="AJ93" s="524"/>
      <c r="AK93" s="524"/>
      <c r="AL93" s="524"/>
      <c r="AM93" s="524"/>
      <c r="AN93" s="524"/>
      <c r="AO93" s="524"/>
      <c r="AP93" s="418" t="s">
        <v>3112</v>
      </c>
    </row>
    <row r="94" spans="1:42" ht="16.5" customHeight="1">
      <c r="A94" s="270"/>
      <c r="B94" s="270"/>
      <c r="C94" s="270"/>
      <c r="D94" s="270"/>
      <c r="E94" s="270"/>
      <c r="F94" s="270"/>
      <c r="G94" s="270"/>
      <c r="H94" s="271" t="s">
        <v>3</v>
      </c>
      <c r="I94" s="590" t="str">
        <f>cst_wskakunin_p4_1_KAISU_TIKAI</f>
        <v/>
      </c>
      <c r="J94" s="591"/>
      <c r="K94" s="591"/>
      <c r="L94" s="591"/>
      <c r="M94" s="591"/>
      <c r="N94" s="410" t="s">
        <v>51</v>
      </c>
      <c r="O94" s="271" t="s">
        <v>3</v>
      </c>
      <c r="P94" s="589" t="str">
        <f>cst_wskakunin_p4_2_KAISU_TIKAI</f>
        <v/>
      </c>
      <c r="Q94" s="589"/>
      <c r="R94" s="589"/>
      <c r="S94" s="589"/>
      <c r="T94" s="589"/>
      <c r="U94" s="410" t="s">
        <v>51</v>
      </c>
      <c r="V94" s="271" t="s">
        <v>3</v>
      </c>
      <c r="W94" s="589" t="str">
        <f>cst_wskakunin_p4_3_KAISU_TIKAI</f>
        <v/>
      </c>
      <c r="X94" s="589"/>
      <c r="Y94" s="589"/>
      <c r="Z94" s="589"/>
      <c r="AA94" s="589"/>
      <c r="AB94" s="410" t="s">
        <v>51</v>
      </c>
      <c r="AF94" s="524" t="s">
        <v>3113</v>
      </c>
      <c r="AG94" s="524"/>
      <c r="AH94" s="524"/>
      <c r="AI94" s="524" t="s">
        <v>3114</v>
      </c>
      <c r="AJ94" s="524"/>
      <c r="AK94" s="524"/>
      <c r="AL94" s="524"/>
      <c r="AM94" s="524"/>
      <c r="AN94" s="524"/>
      <c r="AO94" s="524"/>
      <c r="AP94" s="418" t="s">
        <v>3115</v>
      </c>
    </row>
    <row r="95" spans="1:42" ht="16.5" customHeight="1">
      <c r="A95" s="274" t="s">
        <v>78</v>
      </c>
      <c r="B95" s="274"/>
      <c r="C95" s="274"/>
      <c r="D95" s="274"/>
      <c r="E95" s="274"/>
      <c r="F95" s="274"/>
      <c r="G95" s="274"/>
      <c r="H95" s="274"/>
      <c r="I95" s="274"/>
      <c r="J95" s="274"/>
      <c r="K95" s="274"/>
      <c r="L95" s="274"/>
      <c r="M95" s="274"/>
      <c r="N95" s="592" t="str">
        <f>cst_wskakunin_SHIKITI_MENSEKI_1_TOTAL</f>
        <v/>
      </c>
      <c r="O95" s="593"/>
      <c r="P95" s="593"/>
      <c r="Q95" s="593"/>
      <c r="R95" s="593"/>
      <c r="S95" s="274" t="s">
        <v>108</v>
      </c>
      <c r="T95" s="274"/>
      <c r="U95" s="274"/>
      <c r="V95" s="274"/>
      <c r="W95" s="274"/>
      <c r="X95" s="274"/>
      <c r="Y95" s="274"/>
      <c r="Z95" s="274"/>
      <c r="AA95" s="274"/>
      <c r="AF95" s="528" t="s">
        <v>2906</v>
      </c>
      <c r="AG95" s="528"/>
      <c r="AH95" s="528"/>
      <c r="AI95" s="537" t="s">
        <v>3116</v>
      </c>
      <c r="AJ95" s="538"/>
      <c r="AK95" s="538"/>
      <c r="AL95" s="538"/>
      <c r="AM95" s="538"/>
      <c r="AN95" s="538"/>
      <c r="AO95" s="538"/>
      <c r="AP95" s="418" t="s">
        <v>3117</v>
      </c>
    </row>
    <row r="96" spans="1:42" ht="8.25" customHeight="1">
      <c r="AF96" s="528"/>
      <c r="AG96" s="528"/>
      <c r="AH96" s="528"/>
      <c r="AI96" s="524" t="s">
        <v>2908</v>
      </c>
      <c r="AJ96" s="524"/>
      <c r="AK96" s="524"/>
      <c r="AL96" s="524"/>
      <c r="AM96" s="524"/>
      <c r="AN96" s="524"/>
      <c r="AO96" s="524"/>
      <c r="AP96" s="418" t="s">
        <v>3118</v>
      </c>
    </row>
    <row r="97" spans="1:42" ht="15" customHeight="1">
      <c r="A97" s="570" t="s">
        <v>79</v>
      </c>
      <c r="B97" s="570"/>
      <c r="C97" s="570"/>
      <c r="D97" s="570"/>
      <c r="E97" s="570"/>
      <c r="F97" s="570"/>
      <c r="G97" s="570"/>
      <c r="H97" s="570"/>
      <c r="I97" s="570"/>
      <c r="J97" s="570"/>
      <c r="K97" s="570"/>
      <c r="L97" s="570"/>
      <c r="M97" s="570"/>
      <c r="N97" s="570"/>
      <c r="O97" s="570"/>
      <c r="P97" s="570"/>
      <c r="Q97" s="570"/>
      <c r="R97" s="570"/>
      <c r="S97" s="570"/>
      <c r="T97" s="570"/>
      <c r="U97" s="570"/>
      <c r="V97" s="570"/>
      <c r="W97" s="570"/>
      <c r="X97" s="570"/>
      <c r="Y97" s="570"/>
      <c r="Z97" s="570"/>
      <c r="AA97" s="570"/>
      <c r="AF97" s="528" t="s">
        <v>3119</v>
      </c>
      <c r="AG97" s="528"/>
      <c r="AH97" s="528"/>
      <c r="AI97" s="524" t="s">
        <v>2910</v>
      </c>
      <c r="AJ97" s="524"/>
      <c r="AK97" s="524"/>
      <c r="AL97" s="524"/>
      <c r="AM97" s="524"/>
      <c r="AN97" s="524"/>
      <c r="AO97" s="524"/>
      <c r="AP97" s="418" t="s">
        <v>3120</v>
      </c>
    </row>
    <row r="98" spans="1:42" ht="16.5" customHeight="1">
      <c r="A98" s="410" t="s">
        <v>80</v>
      </c>
      <c r="AF98" s="528"/>
      <c r="AG98" s="528"/>
      <c r="AH98" s="528"/>
      <c r="AI98" s="534" t="s">
        <v>2911</v>
      </c>
      <c r="AJ98" s="534"/>
      <c r="AK98" s="534"/>
      <c r="AL98" s="534"/>
      <c r="AM98" s="534"/>
      <c r="AN98" s="534"/>
      <c r="AO98" s="534"/>
      <c r="AP98" s="523" t="s">
        <v>3121</v>
      </c>
    </row>
    <row r="99" spans="1:42" ht="16.5" customHeight="1">
      <c r="B99" s="410" t="s">
        <v>50</v>
      </c>
      <c r="G99" s="584"/>
      <c r="H99" s="583"/>
      <c r="I99" s="583"/>
      <c r="AF99" s="533"/>
      <c r="AG99" s="533"/>
      <c r="AH99" s="533"/>
      <c r="AI99" s="534"/>
      <c r="AJ99" s="534"/>
      <c r="AK99" s="534"/>
      <c r="AL99" s="534"/>
      <c r="AM99" s="534"/>
      <c r="AN99" s="534"/>
      <c r="AO99" s="534"/>
      <c r="AP99" s="535"/>
    </row>
    <row r="100" spans="1:42" ht="16.5" customHeight="1">
      <c r="B100" s="410" t="s">
        <v>3065</v>
      </c>
      <c r="J100" s="410" t="s">
        <v>3066</v>
      </c>
      <c r="M100" s="410" t="s">
        <v>3</v>
      </c>
      <c r="N100" s="407" t="s">
        <v>505</v>
      </c>
      <c r="O100" s="410" t="s">
        <v>459</v>
      </c>
      <c r="Q100" s="407" t="s">
        <v>505</v>
      </c>
      <c r="R100" s="410" t="s">
        <v>460</v>
      </c>
      <c r="T100" s="407" t="s">
        <v>505</v>
      </c>
      <c r="U100" s="410" t="s">
        <v>461</v>
      </c>
      <c r="W100" s="410" t="s">
        <v>51</v>
      </c>
      <c r="AF100" s="528" t="s">
        <v>3122</v>
      </c>
      <c r="AG100" s="528"/>
      <c r="AH100" s="528"/>
      <c r="AI100" s="524" t="s">
        <v>2913</v>
      </c>
      <c r="AJ100" s="524"/>
      <c r="AK100" s="524"/>
      <c r="AL100" s="524"/>
      <c r="AM100" s="524"/>
      <c r="AN100" s="524"/>
      <c r="AO100" s="524"/>
      <c r="AP100" s="418" t="s">
        <v>3123</v>
      </c>
    </row>
    <row r="101" spans="1:42" ht="16.5" customHeight="1">
      <c r="J101" s="410" t="s">
        <v>3067</v>
      </c>
      <c r="M101" s="410" t="s">
        <v>3</v>
      </c>
      <c r="Q101" s="407" t="s">
        <v>505</v>
      </c>
      <c r="R101" s="410" t="s">
        <v>460</v>
      </c>
      <c r="T101" s="407" t="s">
        <v>505</v>
      </c>
      <c r="U101" s="410" t="s">
        <v>461</v>
      </c>
      <c r="W101" s="410" t="s">
        <v>51</v>
      </c>
      <c r="AF101" s="528"/>
      <c r="AG101" s="528"/>
      <c r="AH101" s="528"/>
      <c r="AI101" s="524" t="s">
        <v>2914</v>
      </c>
      <c r="AJ101" s="524"/>
      <c r="AK101" s="524"/>
      <c r="AL101" s="524"/>
      <c r="AM101" s="524"/>
      <c r="AN101" s="524"/>
      <c r="AO101" s="524"/>
      <c r="AP101" s="418" t="s">
        <v>3124</v>
      </c>
    </row>
    <row r="102" spans="1:42" ht="16.5" customHeight="1">
      <c r="B102" s="410" t="s">
        <v>3068</v>
      </c>
      <c r="H102" s="407" t="s">
        <v>505</v>
      </c>
      <c r="I102" s="410" t="s">
        <v>3069</v>
      </c>
      <c r="O102" s="407" t="s">
        <v>505</v>
      </c>
      <c r="P102" s="410" t="s">
        <v>3070</v>
      </c>
      <c r="T102" s="407" t="s">
        <v>505</v>
      </c>
      <c r="U102" s="410" t="s">
        <v>3071</v>
      </c>
      <c r="AF102" s="528"/>
      <c r="AG102" s="528"/>
      <c r="AH102" s="528"/>
      <c r="AI102" s="536" t="s">
        <v>2915</v>
      </c>
      <c r="AJ102" s="536"/>
      <c r="AK102" s="536"/>
      <c r="AL102" s="536"/>
      <c r="AM102" s="536"/>
      <c r="AN102" s="536"/>
      <c r="AO102" s="536"/>
      <c r="AP102" s="418" t="s">
        <v>3125</v>
      </c>
    </row>
    <row r="103" spans="1:42" ht="16.5" customHeight="1">
      <c r="H103" s="407" t="s">
        <v>505</v>
      </c>
      <c r="I103" s="410" t="s">
        <v>3072</v>
      </c>
      <c r="P103" s="407" t="s">
        <v>505</v>
      </c>
      <c r="Q103" s="410" t="s">
        <v>3073</v>
      </c>
      <c r="AF103" s="528"/>
      <c r="AG103" s="528"/>
      <c r="AH103" s="528"/>
      <c r="AI103" s="536" t="s">
        <v>3126</v>
      </c>
      <c r="AJ103" s="536"/>
      <c r="AK103" s="536"/>
      <c r="AL103" s="536"/>
      <c r="AM103" s="536"/>
      <c r="AN103" s="536"/>
      <c r="AO103" s="536"/>
      <c r="AP103" s="418" t="s">
        <v>3127</v>
      </c>
    </row>
    <row r="104" spans="1:42" ht="16.5" customHeight="1">
      <c r="B104" s="410" t="s">
        <v>3074</v>
      </c>
      <c r="H104" s="407" t="s">
        <v>505</v>
      </c>
      <c r="I104" s="410" t="s">
        <v>81</v>
      </c>
      <c r="N104" s="407" t="s">
        <v>505</v>
      </c>
      <c r="O104" s="410" t="s">
        <v>82</v>
      </c>
      <c r="U104" s="407" t="s">
        <v>505</v>
      </c>
      <c r="V104" s="410" t="s">
        <v>83</v>
      </c>
      <c r="AF104" s="528" t="s">
        <v>3128</v>
      </c>
      <c r="AG104" s="528"/>
      <c r="AH104" s="528"/>
      <c r="AI104" s="524" t="s">
        <v>2918</v>
      </c>
      <c r="AJ104" s="524"/>
      <c r="AK104" s="524"/>
      <c r="AL104" s="524"/>
      <c r="AM104" s="524"/>
      <c r="AN104" s="524"/>
      <c r="AO104" s="524"/>
      <c r="AP104" s="418" t="s">
        <v>3129</v>
      </c>
    </row>
    <row r="105" spans="1:42" ht="16.5" customHeight="1">
      <c r="B105" s="410" t="s">
        <v>3075</v>
      </c>
      <c r="H105" s="407" t="s">
        <v>505</v>
      </c>
      <c r="I105" s="410" t="s">
        <v>84</v>
      </c>
      <c r="N105" s="407" t="s">
        <v>505</v>
      </c>
      <c r="O105" s="410" t="s">
        <v>87</v>
      </c>
      <c r="U105" s="407" t="s">
        <v>505</v>
      </c>
      <c r="V105" s="410" t="s">
        <v>88</v>
      </c>
      <c r="AF105" s="528"/>
      <c r="AG105" s="528"/>
      <c r="AH105" s="528"/>
      <c r="AI105" s="524" t="s">
        <v>2919</v>
      </c>
      <c r="AJ105" s="524"/>
      <c r="AK105" s="524"/>
      <c r="AL105" s="524"/>
      <c r="AM105" s="524"/>
      <c r="AN105" s="524"/>
      <c r="AO105" s="524"/>
      <c r="AP105" s="418" t="s">
        <v>3130</v>
      </c>
    </row>
    <row r="106" spans="1:42" ht="16.5" customHeight="1">
      <c r="B106" s="410" t="s">
        <v>3076</v>
      </c>
      <c r="H106" s="407" t="s">
        <v>505</v>
      </c>
      <c r="I106" s="410" t="s">
        <v>85</v>
      </c>
      <c r="N106" s="407" t="s">
        <v>505</v>
      </c>
      <c r="O106" s="410" t="s">
        <v>86</v>
      </c>
      <c r="U106" s="407" t="s">
        <v>505</v>
      </c>
      <c r="V106" s="410" t="s">
        <v>3077</v>
      </c>
      <c r="AF106" s="528" t="s">
        <v>2920</v>
      </c>
      <c r="AG106" s="528"/>
      <c r="AH106" s="528"/>
      <c r="AI106" s="529" t="s">
        <v>2921</v>
      </c>
      <c r="AJ106" s="524"/>
      <c r="AK106" s="524"/>
      <c r="AL106" s="524"/>
      <c r="AM106" s="524"/>
      <c r="AN106" s="524"/>
      <c r="AO106" s="524"/>
      <c r="AP106" s="418" t="s">
        <v>3131</v>
      </c>
    </row>
    <row r="107" spans="1:42" ht="16.5" customHeight="1">
      <c r="B107" s="410" t="s">
        <v>3078</v>
      </c>
      <c r="G107" s="271"/>
      <c r="H107" s="407" t="s">
        <v>505</v>
      </c>
      <c r="I107" s="594" t="s">
        <v>89</v>
      </c>
      <c r="J107" s="595"/>
      <c r="K107" s="595"/>
      <c r="L107" s="409"/>
      <c r="M107" s="407" t="s">
        <v>505</v>
      </c>
      <c r="N107" s="594" t="s">
        <v>91</v>
      </c>
      <c r="O107" s="595"/>
      <c r="P107" s="595"/>
      <c r="Q107" s="409"/>
      <c r="R107" s="407" t="s">
        <v>505</v>
      </c>
      <c r="S107" s="594" t="s">
        <v>92</v>
      </c>
      <c r="T107" s="595"/>
      <c r="U107" s="595"/>
      <c r="V107" s="409"/>
      <c r="W107" s="407" t="s">
        <v>505</v>
      </c>
      <c r="X107" s="594" t="s">
        <v>93</v>
      </c>
      <c r="Y107" s="595"/>
      <c r="Z107" s="595"/>
      <c r="AA107" s="277"/>
      <c r="AF107" s="528"/>
      <c r="AG107" s="528"/>
      <c r="AH107" s="528"/>
      <c r="AI107" s="529" t="s">
        <v>2922</v>
      </c>
      <c r="AJ107" s="524"/>
      <c r="AK107" s="524"/>
      <c r="AL107" s="524"/>
      <c r="AM107" s="524"/>
      <c r="AN107" s="524"/>
      <c r="AO107" s="524"/>
      <c r="AP107" s="418" t="s">
        <v>3132</v>
      </c>
    </row>
    <row r="108" spans="1:42" ht="16.5" customHeight="1">
      <c r="B108" s="410" t="s">
        <v>3079</v>
      </c>
      <c r="G108" s="271" t="s">
        <v>3</v>
      </c>
      <c r="H108" s="560" t="str">
        <f>IF(H107="☑",1,"")</f>
        <v/>
      </c>
      <c r="I108" s="560"/>
      <c r="J108" s="560"/>
      <c r="K108" s="560"/>
      <c r="L108" s="409" t="s">
        <v>90</v>
      </c>
      <c r="M108" s="584"/>
      <c r="N108" s="584"/>
      <c r="O108" s="584"/>
      <c r="P108" s="584"/>
      <c r="Q108" s="409" t="s">
        <v>90</v>
      </c>
      <c r="R108" s="584"/>
      <c r="S108" s="584"/>
      <c r="T108" s="584"/>
      <c r="U108" s="584"/>
      <c r="V108" s="409" t="s">
        <v>90</v>
      </c>
      <c r="W108" s="560" t="str">
        <f>IF(W107="☑",1,"")</f>
        <v/>
      </c>
      <c r="X108" s="560"/>
      <c r="Y108" s="560"/>
      <c r="Z108" s="560"/>
      <c r="AA108" s="277" t="s">
        <v>51</v>
      </c>
      <c r="AF108" s="528"/>
      <c r="AG108" s="528"/>
      <c r="AH108" s="528"/>
      <c r="AI108" s="529" t="s">
        <v>2923</v>
      </c>
      <c r="AJ108" s="524"/>
      <c r="AK108" s="524"/>
      <c r="AL108" s="524"/>
      <c r="AM108" s="524"/>
      <c r="AN108" s="524"/>
      <c r="AO108" s="524"/>
      <c r="AP108" s="418" t="s">
        <v>3133</v>
      </c>
    </row>
    <row r="109" spans="1:42" ht="16.5" customHeight="1">
      <c r="B109" s="410" t="s">
        <v>3080</v>
      </c>
      <c r="G109" s="271" t="s">
        <v>3</v>
      </c>
      <c r="H109" s="596" t="str">
        <f>IF(H107="☑",TEXT(cst_wskakunin_NOBE_MENSEKI_JYUTAKU_SHINSEI,"0.00")&amp;"㎡","㎡")</f>
        <v>㎡</v>
      </c>
      <c r="I109" s="596"/>
      <c r="J109" s="596"/>
      <c r="K109" s="596"/>
      <c r="L109" s="409" t="s">
        <v>90</v>
      </c>
      <c r="M109" s="582" t="s">
        <v>108</v>
      </c>
      <c r="N109" s="582"/>
      <c r="O109" s="582"/>
      <c r="P109" s="582"/>
      <c r="Q109" s="409" t="s">
        <v>90</v>
      </c>
      <c r="R109" s="582" t="s">
        <v>108</v>
      </c>
      <c r="S109" s="582"/>
      <c r="T109" s="582"/>
      <c r="U109" s="582"/>
      <c r="V109" s="409" t="s">
        <v>90</v>
      </c>
      <c r="W109" s="596" t="str">
        <f>IF(W107="☑",TEXT(cst_wskakunin_NOBE_MENSEKI_JYUTAKU_SHINSEI,"0.00")&amp;"㎡","㎡")</f>
        <v>㎡</v>
      </c>
      <c r="X109" s="596"/>
      <c r="Y109" s="596"/>
      <c r="Z109" s="596"/>
      <c r="AA109" s="277" t="s">
        <v>51</v>
      </c>
      <c r="AF109" s="528"/>
      <c r="AG109" s="528"/>
      <c r="AH109" s="528"/>
      <c r="AI109" s="529" t="s">
        <v>2924</v>
      </c>
      <c r="AJ109" s="524"/>
      <c r="AK109" s="524"/>
      <c r="AL109" s="524"/>
      <c r="AM109" s="524"/>
      <c r="AN109" s="524"/>
      <c r="AO109" s="524"/>
      <c r="AP109" s="418" t="s">
        <v>3134</v>
      </c>
    </row>
    <row r="110" spans="1:42" ht="16.5" customHeight="1">
      <c r="A110" s="270"/>
      <c r="B110" s="270"/>
      <c r="C110" s="270" t="s">
        <v>94</v>
      </c>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F110" s="528"/>
      <c r="AG110" s="528"/>
      <c r="AH110" s="528"/>
      <c r="AI110" s="529" t="s">
        <v>2925</v>
      </c>
      <c r="AJ110" s="524"/>
      <c r="AK110" s="524"/>
      <c r="AL110" s="524"/>
      <c r="AM110" s="524"/>
      <c r="AN110" s="524"/>
      <c r="AO110" s="524"/>
      <c r="AP110" s="418" t="s">
        <v>3135</v>
      </c>
    </row>
    <row r="111" spans="1:42">
      <c r="AF111" s="528"/>
      <c r="AG111" s="528"/>
      <c r="AH111" s="528"/>
      <c r="AI111" s="530" t="s">
        <v>3136</v>
      </c>
      <c r="AJ111" s="530"/>
      <c r="AK111" s="530"/>
      <c r="AL111" s="530"/>
      <c r="AM111" s="530"/>
      <c r="AN111" s="530"/>
      <c r="AO111" s="530"/>
      <c r="AP111" s="523" t="s">
        <v>3137</v>
      </c>
    </row>
    <row r="112" spans="1:42" ht="15" customHeight="1">
      <c r="A112" s="570" t="s">
        <v>95</v>
      </c>
      <c r="B112" s="570"/>
      <c r="C112" s="570"/>
      <c r="D112" s="570"/>
      <c r="E112" s="570"/>
      <c r="F112" s="570"/>
      <c r="G112" s="570"/>
      <c r="H112" s="570"/>
      <c r="I112" s="570"/>
      <c r="J112" s="570"/>
      <c r="K112" s="570"/>
      <c r="L112" s="570"/>
      <c r="M112" s="570"/>
      <c r="N112" s="570"/>
      <c r="O112" s="570"/>
      <c r="P112" s="570"/>
      <c r="Q112" s="570"/>
      <c r="R112" s="570"/>
      <c r="S112" s="570"/>
      <c r="T112" s="570"/>
      <c r="U112" s="570"/>
      <c r="V112" s="570"/>
      <c r="W112" s="570"/>
      <c r="X112" s="570"/>
      <c r="Y112" s="570"/>
      <c r="Z112" s="570"/>
      <c r="AA112" s="570"/>
      <c r="AF112" s="528"/>
      <c r="AG112" s="528"/>
      <c r="AH112" s="528"/>
      <c r="AI112" s="531"/>
      <c r="AJ112" s="531"/>
      <c r="AK112" s="531"/>
      <c r="AL112" s="531"/>
      <c r="AM112" s="531"/>
      <c r="AN112" s="531"/>
      <c r="AO112" s="531"/>
      <c r="AP112" s="523"/>
    </row>
    <row r="113" spans="1:42" ht="16.5" customHeight="1">
      <c r="A113" s="410" t="s">
        <v>96</v>
      </c>
      <c r="G113" s="410" t="s">
        <v>46</v>
      </c>
      <c r="N113" s="271" t="s">
        <v>3</v>
      </c>
      <c r="O113" s="573"/>
      <c r="P113" s="574"/>
      <c r="Q113" s="410" t="s">
        <v>4</v>
      </c>
      <c r="R113" s="575" t="str">
        <f>居住専用建築物テキスト2</f>
        <v/>
      </c>
      <c r="S113" s="576"/>
      <c r="T113" s="576"/>
      <c r="U113" s="576"/>
      <c r="V113" s="576"/>
      <c r="W113" s="576"/>
      <c r="X113" s="576"/>
      <c r="Y113" s="576"/>
      <c r="Z113" s="576"/>
      <c r="AA113" s="576"/>
      <c r="AF113" s="528"/>
      <c r="AG113" s="528"/>
      <c r="AH113" s="528"/>
      <c r="AI113" s="531"/>
      <c r="AJ113" s="531"/>
      <c r="AK113" s="531"/>
      <c r="AL113" s="531"/>
      <c r="AM113" s="531"/>
      <c r="AN113" s="531"/>
      <c r="AO113" s="531"/>
      <c r="AP113" s="523"/>
    </row>
    <row r="114" spans="1:42" ht="16.5" customHeight="1">
      <c r="G114" s="410" t="s">
        <v>47</v>
      </c>
      <c r="N114" s="271" t="s">
        <v>3</v>
      </c>
      <c r="O114" s="577"/>
      <c r="P114" s="578"/>
      <c r="Q114" s="410" t="s">
        <v>4</v>
      </c>
      <c r="R114" s="560" t="str">
        <f>居住産業併用建築物テキスト2</f>
        <v/>
      </c>
      <c r="S114" s="561"/>
      <c r="T114" s="561"/>
      <c r="U114" s="561"/>
      <c r="V114" s="561"/>
      <c r="W114" s="561"/>
      <c r="X114" s="561"/>
      <c r="Y114" s="561"/>
      <c r="Z114" s="561"/>
      <c r="AA114" s="561"/>
      <c r="AF114" s="528"/>
      <c r="AG114" s="528"/>
      <c r="AH114" s="528"/>
      <c r="AI114" s="532"/>
      <c r="AJ114" s="532"/>
      <c r="AK114" s="532"/>
      <c r="AL114" s="532"/>
      <c r="AM114" s="532"/>
      <c r="AN114" s="532"/>
      <c r="AO114" s="532"/>
      <c r="AP114" s="523"/>
    </row>
    <row r="115" spans="1:42" ht="16.5" customHeight="1">
      <c r="G115" s="410" t="s">
        <v>48</v>
      </c>
      <c r="N115" s="271" t="s">
        <v>3</v>
      </c>
      <c r="O115" s="577"/>
      <c r="P115" s="578"/>
      <c r="Q115" s="410" t="s">
        <v>4</v>
      </c>
      <c r="R115" s="560" t="str">
        <f>産業専用建築物テキスト2</f>
        <v/>
      </c>
      <c r="S115" s="561"/>
      <c r="T115" s="561"/>
      <c r="U115" s="561"/>
      <c r="V115" s="561"/>
      <c r="W115" s="561"/>
      <c r="X115" s="561"/>
      <c r="Y115" s="561"/>
      <c r="Z115" s="561"/>
      <c r="AA115" s="561"/>
      <c r="AF115" s="524" t="s">
        <v>3138</v>
      </c>
      <c r="AG115" s="524"/>
      <c r="AH115" s="524"/>
      <c r="AI115" s="524" t="s">
        <v>3138</v>
      </c>
      <c r="AJ115" s="524"/>
      <c r="AK115" s="524"/>
      <c r="AL115" s="524"/>
      <c r="AM115" s="524"/>
      <c r="AN115" s="524"/>
      <c r="AO115" s="524"/>
      <c r="AP115" s="418" t="s">
        <v>3139</v>
      </c>
    </row>
    <row r="116" spans="1:42" ht="16.5" customHeight="1">
      <c r="A116" s="410" t="s">
        <v>3081</v>
      </c>
      <c r="F116" s="407" t="s">
        <v>505</v>
      </c>
      <c r="G116" s="410" t="s">
        <v>97</v>
      </c>
      <c r="Q116" s="407" t="s">
        <v>505</v>
      </c>
      <c r="R116" s="410" t="s">
        <v>98</v>
      </c>
      <c r="AF116" s="420" t="s">
        <v>2928</v>
      </c>
      <c r="AG116" s="420"/>
      <c r="AH116" s="420"/>
      <c r="AI116" s="525" t="s">
        <v>2928</v>
      </c>
      <c r="AJ116" s="526"/>
      <c r="AK116" s="526"/>
      <c r="AL116" s="526"/>
      <c r="AM116" s="526"/>
      <c r="AN116" s="526"/>
      <c r="AO116" s="527"/>
      <c r="AP116" s="418" t="s">
        <v>3140</v>
      </c>
    </row>
    <row r="117" spans="1:42" ht="16.5" customHeight="1">
      <c r="A117" s="410" t="s">
        <v>3082</v>
      </c>
      <c r="F117" s="407" t="s">
        <v>505</v>
      </c>
      <c r="G117" s="410" t="s">
        <v>99</v>
      </c>
      <c r="Q117" s="407" t="s">
        <v>505</v>
      </c>
      <c r="R117" s="410" t="s">
        <v>98</v>
      </c>
    </row>
    <row r="118" spans="1:42" ht="16.5" customHeight="1">
      <c r="A118" s="410" t="s">
        <v>100</v>
      </c>
      <c r="J118" s="560"/>
      <c r="K118" s="561"/>
    </row>
    <row r="119" spans="1:42" ht="16.5" customHeight="1">
      <c r="A119" s="410" t="s">
        <v>101</v>
      </c>
      <c r="J119" s="560"/>
      <c r="K119" s="561"/>
      <c r="L119" s="410" t="s">
        <v>102</v>
      </c>
    </row>
    <row r="120" spans="1:42" ht="16.5" customHeight="1">
      <c r="A120" s="410" t="s">
        <v>103</v>
      </c>
      <c r="H120" s="407" t="s">
        <v>505</v>
      </c>
      <c r="I120" s="410" t="s">
        <v>104</v>
      </c>
      <c r="L120" s="407" t="s">
        <v>505</v>
      </c>
      <c r="M120" s="410" t="s">
        <v>105</v>
      </c>
      <c r="P120" s="407" t="s">
        <v>505</v>
      </c>
      <c r="Q120" s="410" t="s">
        <v>106</v>
      </c>
    </row>
    <row r="121" spans="1:42" ht="16.5" customHeight="1">
      <c r="A121" s="410" t="s">
        <v>107</v>
      </c>
      <c r="I121" s="597"/>
      <c r="J121" s="598"/>
      <c r="K121" s="598"/>
      <c r="L121" s="410" t="s">
        <v>108</v>
      </c>
    </row>
    <row r="122" spans="1:42" ht="16.5" customHeight="1">
      <c r="A122" s="270" t="s">
        <v>109</v>
      </c>
      <c r="B122" s="270"/>
      <c r="C122" s="270"/>
      <c r="D122" s="270"/>
      <c r="E122" s="270"/>
      <c r="F122" s="270"/>
      <c r="G122" s="270"/>
      <c r="H122" s="270"/>
      <c r="I122" s="568"/>
      <c r="J122" s="569"/>
      <c r="K122" s="569"/>
      <c r="L122" s="270" t="s">
        <v>110</v>
      </c>
      <c r="M122" s="270"/>
      <c r="N122" s="270"/>
      <c r="O122" s="270"/>
      <c r="P122" s="270"/>
      <c r="Q122" s="270"/>
      <c r="R122" s="270"/>
      <c r="S122" s="270"/>
      <c r="T122" s="270"/>
      <c r="U122" s="270"/>
      <c r="V122" s="270"/>
      <c r="W122" s="270"/>
      <c r="X122" s="270"/>
      <c r="Y122" s="270"/>
      <c r="Z122" s="270"/>
      <c r="AA122" s="270"/>
    </row>
  </sheetData>
  <sheetProtection formatCells="0" formatColumns="0" formatRows="0"/>
  <mergeCells count="147">
    <mergeCell ref="H109:K109"/>
    <mergeCell ref="M109:P109"/>
    <mergeCell ref="R109:U109"/>
    <mergeCell ref="W109:Z109"/>
    <mergeCell ref="J118:K118"/>
    <mergeCell ref="J119:K119"/>
    <mergeCell ref="I121:K121"/>
    <mergeCell ref="I122:K122"/>
    <mergeCell ref="A112:AA112"/>
    <mergeCell ref="O113:P113"/>
    <mergeCell ref="R113:AA113"/>
    <mergeCell ref="O114:P114"/>
    <mergeCell ref="R114:AA114"/>
    <mergeCell ref="O115:P115"/>
    <mergeCell ref="R115:AA115"/>
    <mergeCell ref="N95:R95"/>
    <mergeCell ref="A97:AA97"/>
    <mergeCell ref="G99:I99"/>
    <mergeCell ref="I107:K107"/>
    <mergeCell ref="N107:P107"/>
    <mergeCell ref="S107:U107"/>
    <mergeCell ref="X107:Z107"/>
    <mergeCell ref="H108:K108"/>
    <mergeCell ref="M108:P108"/>
    <mergeCell ref="R108:U108"/>
    <mergeCell ref="W108:Z108"/>
    <mergeCell ref="I90:L90"/>
    <mergeCell ref="P90:S90"/>
    <mergeCell ref="W90:Z90"/>
    <mergeCell ref="I92:M92"/>
    <mergeCell ref="P92:T92"/>
    <mergeCell ref="W92:AA92"/>
    <mergeCell ref="I94:M94"/>
    <mergeCell ref="P94:T94"/>
    <mergeCell ref="W94:AA94"/>
    <mergeCell ref="I66:M66"/>
    <mergeCell ref="P66:T66"/>
    <mergeCell ref="W66:AA66"/>
    <mergeCell ref="I86:L86"/>
    <mergeCell ref="P86:S86"/>
    <mergeCell ref="W86:Z86"/>
    <mergeCell ref="I88:M88"/>
    <mergeCell ref="P88:T88"/>
    <mergeCell ref="W88:Z88"/>
    <mergeCell ref="AA88:AB88"/>
    <mergeCell ref="E29:AA29"/>
    <mergeCell ref="E30:L30"/>
    <mergeCell ref="J32:P32"/>
    <mergeCell ref="I34:Z34"/>
    <mergeCell ref="E36:X36"/>
    <mergeCell ref="O64:P64"/>
    <mergeCell ref="R64:AA64"/>
    <mergeCell ref="E38:J38"/>
    <mergeCell ref="E39:Y39"/>
    <mergeCell ref="E40:L40"/>
    <mergeCell ref="A44:AA44"/>
    <mergeCell ref="G55:AB57"/>
    <mergeCell ref="O62:P62"/>
    <mergeCell ref="R62:AA62"/>
    <mergeCell ref="O63:P63"/>
    <mergeCell ref="R63:AA63"/>
    <mergeCell ref="H33:J33"/>
    <mergeCell ref="K46:M46"/>
    <mergeCell ref="K47:M47"/>
    <mergeCell ref="AF61:AO61"/>
    <mergeCell ref="AF62:AO62"/>
    <mergeCell ref="AF63:AO63"/>
    <mergeCell ref="AF64:AO64"/>
    <mergeCell ref="AF65:AO65"/>
    <mergeCell ref="E21:J21"/>
    <mergeCell ref="A4:AA4"/>
    <mergeCell ref="A5:AA5"/>
    <mergeCell ref="A6:AA6"/>
    <mergeCell ref="B10:E10"/>
    <mergeCell ref="B12:D13"/>
    <mergeCell ref="E12:Y13"/>
    <mergeCell ref="Z12:Z13"/>
    <mergeCell ref="E14:J14"/>
    <mergeCell ref="E15:AA15"/>
    <mergeCell ref="E16:L16"/>
    <mergeCell ref="E18:AA18"/>
    <mergeCell ref="E20:AA20"/>
    <mergeCell ref="E37:X37"/>
    <mergeCell ref="E22:AA22"/>
    <mergeCell ref="E23:L23"/>
    <mergeCell ref="E25:AA25"/>
    <mergeCell ref="E27:AA27"/>
    <mergeCell ref="E28:J28"/>
    <mergeCell ref="AF73:AH82"/>
    <mergeCell ref="AI73:AO76"/>
    <mergeCell ref="AP73:AP76"/>
    <mergeCell ref="AI77:AO77"/>
    <mergeCell ref="AI78:AO78"/>
    <mergeCell ref="AI79:AO81"/>
    <mergeCell ref="AP79:AP81"/>
    <mergeCell ref="AI82:AO82"/>
    <mergeCell ref="AF66:AO66"/>
    <mergeCell ref="AF69:AO69"/>
    <mergeCell ref="AF70:AH70"/>
    <mergeCell ref="AI70:AO70"/>
    <mergeCell ref="AF71:AH72"/>
    <mergeCell ref="AI71:AO71"/>
    <mergeCell ref="AI72:AO72"/>
    <mergeCell ref="AF87:AH90"/>
    <mergeCell ref="AI87:AO87"/>
    <mergeCell ref="AI88:AO88"/>
    <mergeCell ref="AI89:AO89"/>
    <mergeCell ref="AI90:AO90"/>
    <mergeCell ref="AF83:AH86"/>
    <mergeCell ref="AI83:AO83"/>
    <mergeCell ref="AI84:AO84"/>
    <mergeCell ref="AI85:AO85"/>
    <mergeCell ref="AI86:AO86"/>
    <mergeCell ref="AF94:AH94"/>
    <mergeCell ref="AI94:AO94"/>
    <mergeCell ref="AF95:AH96"/>
    <mergeCell ref="AI95:AO95"/>
    <mergeCell ref="AI96:AO96"/>
    <mergeCell ref="AF91:AH92"/>
    <mergeCell ref="AI91:AO92"/>
    <mergeCell ref="AP91:AP92"/>
    <mergeCell ref="AF93:AH93"/>
    <mergeCell ref="AI93:AO93"/>
    <mergeCell ref="S8:U8"/>
    <mergeCell ref="AP111:AP114"/>
    <mergeCell ref="AF115:AH115"/>
    <mergeCell ref="AI115:AO115"/>
    <mergeCell ref="AI116:AO116"/>
    <mergeCell ref="AF104:AH105"/>
    <mergeCell ref="AI104:AO104"/>
    <mergeCell ref="AI105:AO105"/>
    <mergeCell ref="AF106:AH114"/>
    <mergeCell ref="AI106:AO106"/>
    <mergeCell ref="AI107:AO107"/>
    <mergeCell ref="AI108:AO108"/>
    <mergeCell ref="AI109:AO109"/>
    <mergeCell ref="AI110:AO110"/>
    <mergeCell ref="AI111:AO114"/>
    <mergeCell ref="AF97:AH99"/>
    <mergeCell ref="AI97:AO97"/>
    <mergeCell ref="AI98:AO99"/>
    <mergeCell ref="AP98:AP99"/>
    <mergeCell ref="AF100:AH103"/>
    <mergeCell ref="AI100:AO100"/>
    <mergeCell ref="AI101:AO101"/>
    <mergeCell ref="AI102:AO102"/>
    <mergeCell ref="AI103:AO103"/>
  </mergeCells>
  <phoneticPr fontId="57"/>
  <dataValidations count="4">
    <dataValidation type="list" allowBlank="1" showInputMessage="1" sqref="F116:F117 H67:H68 H70:H77 H79 H81:H82 H84 H102:H107 H120 I49:I50 K51:K53 L120 M49:M50 M107 N100 N104:N106 O67:O68 O70:O77 O79 O81:O82 O84 O102 P103 P120 Q100:Q101 Q116:Q117 R51 R107 T49:T50 T53 T100:T102 U104:U106 V67:V68 V70:V77 V79 V81:V82 V84 W107">
      <formula1>"□,☑"</formula1>
    </dataValidation>
    <dataValidation allowBlank="1" showInputMessage="1" showErrorMessage="1" sqref="F61 F65600 F131136 F196672 F262208 F327744 F393280 F458816 F524352 F589888 F655424 F720960 F786496 F852032 F917568 F983104 K61 K65600 K131136 K196672 K262208 K327744 K393280 K458816 K524352 K589888 K655424 K720960 K786496 K852032 K917568 K983104 P61 P65600 P131136 P196672 P262208 P327744 P393280 P458816 P524352 P589888 P655424 P720960 P786496 P852032 P917568 P983104 U61 U65600 U131136 U196672 U262208 U327744 U393280 U458816 U524352 U589888 U655424 U720960 U786496 U852032 U917568 U983104 JB61 JB65600 JB131136 JB196672 JB262208 JB327744 JB393280 JB458816 JB524352 JB589888 JB655424 JB720960 JB786496 JB852032 JB917568 JB983104 JG61 JG65600 JG131136 JG196672 JG262208 JG327744 JG393280 JG458816 JG524352 JG589888 JG655424 JG720960 JG786496 JG852032 JG917568 JG983104 JL61 JL65600 JL131136 JL196672 JL262208 JL327744 JL393280 JL458816 JL524352 JL589888 JL655424 JL720960 JL786496 JL852032 JL917568 JL983104 JQ61 JQ65600 JQ131136 JQ196672 JQ262208 JQ327744 JQ393280 JQ458816 JQ524352 JQ589888 JQ655424 JQ720960 JQ786496 JQ852032 JQ917568 JQ983104 SX61 SX65600 SX131136 SX196672 SX262208 SX327744 SX393280 SX458816 SX524352 SX589888 SX655424 SX720960 SX786496 SX852032 SX917568 SX983104 TC61 TC65600 TC131136 TC196672 TC262208 TC327744 TC393280 TC458816 TC524352 TC589888 TC655424 TC720960 TC786496 TC852032 TC917568 TC983104 TH61 TH65600 TH131136 TH196672 TH262208 TH327744 TH393280 TH458816 TH524352 TH589888 TH655424 TH720960 TH786496 TH852032 TH917568 TH983104 TM61 TM65600 TM131136 TM196672 TM262208 TM327744 TM393280 TM458816 TM524352 TM589888 TM655424 TM720960 TM786496 TM852032 TM917568 TM983104 ACT61 ACT65600 ACT131136 ACT196672 ACT262208 ACT327744 ACT393280 ACT458816 ACT524352 ACT589888 ACT655424 ACT720960 ACT786496 ACT852032 ACT917568 ACT983104 ACY61 ACY65600 ACY131136 ACY196672 ACY262208 ACY327744 ACY393280 ACY458816 ACY524352 ACY589888 ACY655424 ACY720960 ACY786496 ACY852032 ACY917568 ACY983104 ADD61 ADD65600 ADD131136 ADD196672 ADD262208 ADD327744 ADD393280 ADD458816 ADD524352 ADD589888 ADD655424 ADD720960 ADD786496 ADD852032 ADD917568 ADD983104 ADI61 ADI65600 ADI131136 ADI196672 ADI262208 ADI327744 ADI393280 ADI458816 ADI524352 ADI589888 ADI655424 ADI720960 ADI786496 ADI852032 ADI917568 ADI983104 AMP61 AMP65600 AMP131136 AMP196672 AMP262208 AMP327744 AMP393280 AMP458816 AMP524352 AMP589888 AMP655424 AMP720960 AMP786496 AMP852032 AMP917568 AMP983104 AMU61 AMU65600 AMU131136 AMU196672 AMU262208 AMU327744 AMU393280 AMU458816 AMU524352 AMU589888 AMU655424 AMU720960 AMU786496 AMU852032 AMU917568 AMU983104 AMZ61 AMZ65600 AMZ131136 AMZ196672 AMZ262208 AMZ327744 AMZ393280 AMZ458816 AMZ524352 AMZ589888 AMZ655424 AMZ720960 AMZ786496 AMZ852032 AMZ917568 AMZ983104 ANE61 ANE65600 ANE131136 ANE196672 ANE262208 ANE327744 ANE393280 ANE458816 ANE524352 ANE589888 ANE655424 ANE720960 ANE786496 ANE852032 ANE917568 ANE983104 AWL61 AWL65600 AWL131136 AWL196672 AWL262208 AWL327744 AWL393280 AWL458816 AWL524352 AWL589888 AWL655424 AWL720960 AWL786496 AWL852032 AWL917568 AWL983104 AWQ61 AWQ65600 AWQ131136 AWQ196672 AWQ262208 AWQ327744 AWQ393280 AWQ458816 AWQ524352 AWQ589888 AWQ655424 AWQ720960 AWQ786496 AWQ852032 AWQ917568 AWQ983104 AWV61 AWV65600 AWV131136 AWV196672 AWV262208 AWV327744 AWV393280 AWV458816 AWV524352 AWV589888 AWV655424 AWV720960 AWV786496 AWV852032 AWV917568 AWV983104 AXA61 AXA65600 AXA131136 AXA196672 AXA262208 AXA327744 AXA393280 AXA458816 AXA524352 AXA589888 AXA655424 AXA720960 AXA786496 AXA852032 AXA917568 AXA983104 BGH61 BGH65600 BGH131136 BGH196672 BGH262208 BGH327744 BGH393280 BGH458816 BGH524352 BGH589888 BGH655424 BGH720960 BGH786496 BGH852032 BGH917568 BGH983104 BGM61 BGM65600 BGM131136 BGM196672 BGM262208 BGM327744 BGM393280 BGM458816 BGM524352 BGM589888 BGM655424 BGM720960 BGM786496 BGM852032 BGM917568 BGM983104 BGR61 BGR65600 BGR131136 BGR196672 BGR262208 BGR327744 BGR393280 BGR458816 BGR524352 BGR589888 BGR655424 BGR720960 BGR786496 BGR852032 BGR917568 BGR983104 BGW61 BGW65600 BGW131136 BGW196672 BGW262208 BGW327744 BGW393280 BGW458816 BGW524352 BGW589888 BGW655424 BGW720960 BGW786496 BGW852032 BGW917568 BGW983104 BQD61 BQD65600 BQD131136 BQD196672 BQD262208 BQD327744 BQD393280 BQD458816 BQD524352 BQD589888 BQD655424 BQD720960 BQD786496 BQD852032 BQD917568 BQD983104 BQI61 BQI65600 BQI131136 BQI196672 BQI262208 BQI327744 BQI393280 BQI458816 BQI524352 BQI589888 BQI655424 BQI720960 BQI786496 BQI852032 BQI917568 BQI983104 BQN61 BQN65600 BQN131136 BQN196672 BQN262208 BQN327744 BQN393280 BQN458816 BQN524352 BQN589888 BQN655424 BQN720960 BQN786496 BQN852032 BQN917568 BQN983104 BQS61 BQS65600 BQS131136 BQS196672 BQS262208 BQS327744 BQS393280 BQS458816 BQS524352 BQS589888 BQS655424 BQS720960 BQS786496 BQS852032 BQS917568 BQS983104 BZZ61 BZZ65600 BZZ131136 BZZ196672 BZZ262208 BZZ327744 BZZ393280 BZZ458816 BZZ524352 BZZ589888 BZZ655424 BZZ720960 BZZ786496 BZZ852032 BZZ917568 BZZ983104 CAE61 CAE65600 CAE131136 CAE196672 CAE262208 CAE327744 CAE393280 CAE458816 CAE524352 CAE589888 CAE655424 CAE720960 CAE786496 CAE852032 CAE917568 CAE983104 CAJ61 CAJ65600 CAJ131136 CAJ196672 CAJ262208 CAJ327744 CAJ393280 CAJ458816 CAJ524352 CAJ589888 CAJ655424 CAJ720960 CAJ786496 CAJ852032 CAJ917568 CAJ983104 CAO61 CAO65600 CAO131136 CAO196672 CAO262208 CAO327744 CAO393280 CAO458816 CAO524352 CAO589888 CAO655424 CAO720960 CAO786496 CAO852032 CAO917568 CAO983104 CJV61 CJV65600 CJV131136 CJV196672 CJV262208 CJV327744 CJV393280 CJV458816 CJV524352 CJV589888 CJV655424 CJV720960 CJV786496 CJV852032 CJV917568 CJV983104 CKA61 CKA65600 CKA131136 CKA196672 CKA262208 CKA327744 CKA393280 CKA458816 CKA524352 CKA589888 CKA655424 CKA720960 CKA786496 CKA852032 CKA917568 CKA983104 CKF61 CKF65600 CKF131136 CKF196672 CKF262208 CKF327744 CKF393280 CKF458816 CKF524352 CKF589888 CKF655424 CKF720960 CKF786496 CKF852032 CKF917568 CKF983104 CKK61 CKK65600 CKK131136 CKK196672 CKK262208 CKK327744 CKK393280 CKK458816 CKK524352 CKK589888 CKK655424 CKK720960 CKK786496 CKK852032 CKK917568 CKK983104 CTR61 CTR65600 CTR131136 CTR196672 CTR262208 CTR327744 CTR393280 CTR458816 CTR524352 CTR589888 CTR655424 CTR720960 CTR786496 CTR852032 CTR917568 CTR983104 CTW61 CTW65600 CTW131136 CTW196672 CTW262208 CTW327744 CTW393280 CTW458816 CTW524352 CTW589888 CTW655424 CTW720960 CTW786496 CTW852032 CTW917568 CTW983104 CUB61 CUB65600 CUB131136 CUB196672 CUB262208 CUB327744 CUB393280 CUB458816 CUB524352 CUB589888 CUB655424 CUB720960 CUB786496 CUB852032 CUB917568 CUB983104 CUG61 CUG65600 CUG131136 CUG196672 CUG262208 CUG327744 CUG393280 CUG458816 CUG524352 CUG589888 CUG655424 CUG720960 CUG786496 CUG852032 CUG917568 CUG983104 DDN61 DDN65600 DDN131136 DDN196672 DDN262208 DDN327744 DDN393280 DDN458816 DDN524352 DDN589888 DDN655424 DDN720960 DDN786496 DDN852032 DDN917568 DDN983104 DDS61 DDS65600 DDS131136 DDS196672 DDS262208 DDS327744 DDS393280 DDS458816 DDS524352 DDS589888 DDS655424 DDS720960 DDS786496 DDS852032 DDS917568 DDS983104 DDX61 DDX65600 DDX131136 DDX196672 DDX262208 DDX327744 DDX393280 DDX458816 DDX524352 DDX589888 DDX655424 DDX720960 DDX786496 DDX852032 DDX917568 DDX983104 DEC61 DEC65600 DEC131136 DEC196672 DEC262208 DEC327744 DEC393280 DEC458816 DEC524352 DEC589888 DEC655424 DEC720960 DEC786496 DEC852032 DEC917568 DEC983104 DNJ61 DNJ65600 DNJ131136 DNJ196672 DNJ262208 DNJ327744 DNJ393280 DNJ458816 DNJ524352 DNJ589888 DNJ655424 DNJ720960 DNJ786496 DNJ852032 DNJ917568 DNJ983104 DNO61 DNO65600 DNO131136 DNO196672 DNO262208 DNO327744 DNO393280 DNO458816 DNO524352 DNO589888 DNO655424 DNO720960 DNO786496 DNO852032 DNO917568 DNO983104 DNT61 DNT65600 DNT131136 DNT196672 DNT262208 DNT327744 DNT393280 DNT458816 DNT524352 DNT589888 DNT655424 DNT720960 DNT786496 DNT852032 DNT917568 DNT983104 DNY61 DNY65600 DNY131136 DNY196672 DNY262208 DNY327744 DNY393280 DNY458816 DNY524352 DNY589888 DNY655424 DNY720960 DNY786496 DNY852032 DNY917568 DNY983104 DXF61 DXF65600 DXF131136 DXF196672 DXF262208 DXF327744 DXF393280 DXF458816 DXF524352 DXF589888 DXF655424 DXF720960 DXF786496 DXF852032 DXF917568 DXF983104 DXK61 DXK65600 DXK131136 DXK196672 DXK262208 DXK327744 DXK393280 DXK458816 DXK524352 DXK589888 DXK655424 DXK720960 DXK786496 DXK852032 DXK917568 DXK983104 DXP61 DXP65600 DXP131136 DXP196672 DXP262208 DXP327744 DXP393280 DXP458816 DXP524352 DXP589888 DXP655424 DXP720960 DXP786496 DXP852032 DXP917568 DXP983104 DXU61 DXU65600 DXU131136 DXU196672 DXU262208 DXU327744 DXU393280 DXU458816 DXU524352 DXU589888 DXU655424 DXU720960 DXU786496 DXU852032 DXU917568 DXU983104 EHB61 EHB65600 EHB131136 EHB196672 EHB262208 EHB327744 EHB393280 EHB458816 EHB524352 EHB589888 EHB655424 EHB720960 EHB786496 EHB852032 EHB917568 EHB983104 EHG61 EHG65600 EHG131136 EHG196672 EHG262208 EHG327744 EHG393280 EHG458816 EHG524352 EHG589888 EHG655424 EHG720960 EHG786496 EHG852032 EHG917568 EHG983104 EHL61 EHL65600 EHL131136 EHL196672 EHL262208 EHL327744 EHL393280 EHL458816 EHL524352 EHL589888 EHL655424 EHL720960 EHL786496 EHL852032 EHL917568 EHL983104 EHQ61 EHQ65600 EHQ131136 EHQ196672 EHQ262208 EHQ327744 EHQ393280 EHQ458816 EHQ524352 EHQ589888 EHQ655424 EHQ720960 EHQ786496 EHQ852032 EHQ917568 EHQ983104 EQX61 EQX65600 EQX131136 EQX196672 EQX262208 EQX327744 EQX393280 EQX458816 EQX524352 EQX589888 EQX655424 EQX720960 EQX786496 EQX852032 EQX917568 EQX983104 ERC61 ERC65600 ERC131136 ERC196672 ERC262208 ERC327744 ERC393280 ERC458816 ERC524352 ERC589888 ERC655424 ERC720960 ERC786496 ERC852032 ERC917568 ERC983104 ERH61 ERH65600 ERH131136 ERH196672 ERH262208 ERH327744 ERH393280 ERH458816 ERH524352 ERH589888 ERH655424 ERH720960 ERH786496 ERH852032 ERH917568 ERH983104 ERM61 ERM65600 ERM131136 ERM196672 ERM262208 ERM327744 ERM393280 ERM458816 ERM524352 ERM589888 ERM655424 ERM720960 ERM786496 ERM852032 ERM917568 ERM983104 FAT61 FAT65600 FAT131136 FAT196672 FAT262208 FAT327744 FAT393280 FAT458816 FAT524352 FAT589888 FAT655424 FAT720960 FAT786496 FAT852032 FAT917568 FAT983104 FAY61 FAY65600 FAY131136 FAY196672 FAY262208 FAY327744 FAY393280 FAY458816 FAY524352 FAY589888 FAY655424 FAY720960 FAY786496 FAY852032 FAY917568 FAY983104 FBD61 FBD65600 FBD131136 FBD196672 FBD262208 FBD327744 FBD393280 FBD458816 FBD524352 FBD589888 FBD655424 FBD720960 FBD786496 FBD852032 FBD917568 FBD983104 FBI61 FBI65600 FBI131136 FBI196672 FBI262208 FBI327744 FBI393280 FBI458816 FBI524352 FBI589888 FBI655424 FBI720960 FBI786496 FBI852032 FBI917568 FBI983104 FKP61 FKP65600 FKP131136 FKP196672 FKP262208 FKP327744 FKP393280 FKP458816 FKP524352 FKP589888 FKP655424 FKP720960 FKP786496 FKP852032 FKP917568 FKP983104 FKU61 FKU65600 FKU131136 FKU196672 FKU262208 FKU327744 FKU393280 FKU458816 FKU524352 FKU589888 FKU655424 FKU720960 FKU786496 FKU852032 FKU917568 FKU983104 FKZ61 FKZ65600 FKZ131136 FKZ196672 FKZ262208 FKZ327744 FKZ393280 FKZ458816 FKZ524352 FKZ589888 FKZ655424 FKZ720960 FKZ786496 FKZ852032 FKZ917568 FKZ983104 FLE61 FLE65600 FLE131136 FLE196672 FLE262208 FLE327744 FLE393280 FLE458816 FLE524352 FLE589888 FLE655424 FLE720960 FLE786496 FLE852032 FLE917568 FLE983104 FUL61 FUL65600 FUL131136 FUL196672 FUL262208 FUL327744 FUL393280 FUL458816 FUL524352 FUL589888 FUL655424 FUL720960 FUL786496 FUL852032 FUL917568 FUL983104 FUQ61 FUQ65600 FUQ131136 FUQ196672 FUQ262208 FUQ327744 FUQ393280 FUQ458816 FUQ524352 FUQ589888 FUQ655424 FUQ720960 FUQ786496 FUQ852032 FUQ917568 FUQ983104 FUV61 FUV65600 FUV131136 FUV196672 FUV262208 FUV327744 FUV393280 FUV458816 FUV524352 FUV589888 FUV655424 FUV720960 FUV786496 FUV852032 FUV917568 FUV983104 FVA61 FVA65600 FVA131136 FVA196672 FVA262208 FVA327744 FVA393280 FVA458816 FVA524352 FVA589888 FVA655424 FVA720960 FVA786496 FVA852032 FVA917568 FVA983104 GEH61 GEH65600 GEH131136 GEH196672 GEH262208 GEH327744 GEH393280 GEH458816 GEH524352 GEH589888 GEH655424 GEH720960 GEH786496 GEH852032 GEH917568 GEH983104 GEM61 GEM65600 GEM131136 GEM196672 GEM262208 GEM327744 GEM393280 GEM458816 GEM524352 GEM589888 GEM655424 GEM720960 GEM786496 GEM852032 GEM917568 GEM983104 GER61 GER65600 GER131136 GER196672 GER262208 GER327744 GER393280 GER458816 GER524352 GER589888 GER655424 GER720960 GER786496 GER852032 GER917568 GER983104 GEW61 GEW65600 GEW131136 GEW196672 GEW262208 GEW327744 GEW393280 GEW458816 GEW524352 GEW589888 GEW655424 GEW720960 GEW786496 GEW852032 GEW917568 GEW983104 GOD61 GOD65600 GOD131136 GOD196672 GOD262208 GOD327744 GOD393280 GOD458816 GOD524352 GOD589888 GOD655424 GOD720960 GOD786496 GOD852032 GOD917568 GOD983104 GOI61 GOI65600 GOI131136 GOI196672 GOI262208 GOI327744 GOI393280 GOI458816 GOI524352 GOI589888 GOI655424 GOI720960 GOI786496 GOI852032 GOI917568 GOI983104 GON61 GON65600 GON131136 GON196672 GON262208 GON327744 GON393280 GON458816 GON524352 GON589888 GON655424 GON720960 GON786496 GON852032 GON917568 GON983104 GOS61 GOS65600 GOS131136 GOS196672 GOS262208 GOS327744 GOS393280 GOS458816 GOS524352 GOS589888 GOS655424 GOS720960 GOS786496 GOS852032 GOS917568 GOS983104 GXZ61 GXZ65600 GXZ131136 GXZ196672 GXZ262208 GXZ327744 GXZ393280 GXZ458816 GXZ524352 GXZ589888 GXZ655424 GXZ720960 GXZ786496 GXZ852032 GXZ917568 GXZ983104 GYE61 GYE65600 GYE131136 GYE196672 GYE262208 GYE327744 GYE393280 GYE458816 GYE524352 GYE589888 GYE655424 GYE720960 GYE786496 GYE852032 GYE917568 GYE983104 GYJ61 GYJ65600 GYJ131136 GYJ196672 GYJ262208 GYJ327744 GYJ393280 GYJ458816 GYJ524352 GYJ589888 GYJ655424 GYJ720960 GYJ786496 GYJ852032 GYJ917568 GYJ983104 GYO61 GYO65600 GYO131136 GYO196672 GYO262208 GYO327744 GYO393280 GYO458816 GYO524352 GYO589888 GYO655424 GYO720960 GYO786496 GYO852032 GYO917568 GYO983104 HHV61 HHV65600 HHV131136 HHV196672 HHV262208 HHV327744 HHV393280 HHV458816 HHV524352 HHV589888 HHV655424 HHV720960 HHV786496 HHV852032 HHV917568 HHV983104 HIA61 HIA65600 HIA131136 HIA196672 HIA262208 HIA327744 HIA393280 HIA458816 HIA524352 HIA589888 HIA655424 HIA720960 HIA786496 HIA852032 HIA917568 HIA983104 HIF61 HIF65600 HIF131136 HIF196672 HIF262208 HIF327744 HIF393280 HIF458816 HIF524352 HIF589888 HIF655424 HIF720960 HIF786496 HIF852032 HIF917568 HIF983104 HIK61 HIK65600 HIK131136 HIK196672 HIK262208 HIK327744 HIK393280 HIK458816 HIK524352 HIK589888 HIK655424 HIK720960 HIK786496 HIK852032 HIK917568 HIK983104 HRR61 HRR65600 HRR131136 HRR196672 HRR262208 HRR327744 HRR393280 HRR458816 HRR524352 HRR589888 HRR655424 HRR720960 HRR786496 HRR852032 HRR917568 HRR983104 HRW61 HRW65600 HRW131136 HRW196672 HRW262208 HRW327744 HRW393280 HRW458816 HRW524352 HRW589888 HRW655424 HRW720960 HRW786496 HRW852032 HRW917568 HRW983104 HSB61 HSB65600 HSB131136 HSB196672 HSB262208 HSB327744 HSB393280 HSB458816 HSB524352 HSB589888 HSB655424 HSB720960 HSB786496 HSB852032 HSB917568 HSB983104 HSG61 HSG65600 HSG131136 HSG196672 HSG262208 HSG327744 HSG393280 HSG458816 HSG524352 HSG589888 HSG655424 HSG720960 HSG786496 HSG852032 HSG917568 HSG983104 IBN61 IBN65600 IBN131136 IBN196672 IBN262208 IBN327744 IBN393280 IBN458816 IBN524352 IBN589888 IBN655424 IBN720960 IBN786496 IBN852032 IBN917568 IBN983104 IBS61 IBS65600 IBS131136 IBS196672 IBS262208 IBS327744 IBS393280 IBS458816 IBS524352 IBS589888 IBS655424 IBS720960 IBS786496 IBS852032 IBS917568 IBS983104 IBX61 IBX65600 IBX131136 IBX196672 IBX262208 IBX327744 IBX393280 IBX458816 IBX524352 IBX589888 IBX655424 IBX720960 IBX786496 IBX852032 IBX917568 IBX983104 ICC61 ICC65600 ICC131136 ICC196672 ICC262208 ICC327744 ICC393280 ICC458816 ICC524352 ICC589888 ICC655424 ICC720960 ICC786496 ICC852032 ICC917568 ICC983104 ILJ61 ILJ65600 ILJ131136 ILJ196672 ILJ262208 ILJ327744 ILJ393280 ILJ458816 ILJ524352 ILJ589888 ILJ655424 ILJ720960 ILJ786496 ILJ852032 ILJ917568 ILJ983104 ILO61 ILO65600 ILO131136 ILO196672 ILO262208 ILO327744 ILO393280 ILO458816 ILO524352 ILO589888 ILO655424 ILO720960 ILO786496 ILO852032 ILO917568 ILO983104 ILT61 ILT65600 ILT131136 ILT196672 ILT262208 ILT327744 ILT393280 ILT458816 ILT524352 ILT589888 ILT655424 ILT720960 ILT786496 ILT852032 ILT917568 ILT983104 ILY61 ILY65600 ILY131136 ILY196672 ILY262208 ILY327744 ILY393280 ILY458816 ILY524352 ILY589888 ILY655424 ILY720960 ILY786496 ILY852032 ILY917568 ILY983104 IVF61 IVF65600 IVF131136 IVF196672 IVF262208 IVF327744 IVF393280 IVF458816 IVF524352 IVF589888 IVF655424 IVF720960 IVF786496 IVF852032 IVF917568 IVF983104 IVK61 IVK65600 IVK131136 IVK196672 IVK262208 IVK327744 IVK393280 IVK458816 IVK524352 IVK589888 IVK655424 IVK720960 IVK786496 IVK852032 IVK917568 IVK983104 IVP61 IVP65600 IVP131136 IVP196672 IVP262208 IVP327744 IVP393280 IVP458816 IVP524352 IVP589888 IVP655424 IVP720960 IVP786496 IVP852032 IVP917568 IVP983104 IVU61 IVU65600 IVU131136 IVU196672 IVU262208 IVU327744 IVU393280 IVU458816 IVU524352 IVU589888 IVU655424 IVU720960 IVU786496 IVU852032 IVU917568 IVU983104 JFB61 JFB65600 JFB131136 JFB196672 JFB262208 JFB327744 JFB393280 JFB458816 JFB524352 JFB589888 JFB655424 JFB720960 JFB786496 JFB852032 JFB917568 JFB983104 JFG61 JFG65600 JFG131136 JFG196672 JFG262208 JFG327744 JFG393280 JFG458816 JFG524352 JFG589888 JFG655424 JFG720960 JFG786496 JFG852032 JFG917568 JFG983104 JFL61 JFL65600 JFL131136 JFL196672 JFL262208 JFL327744 JFL393280 JFL458816 JFL524352 JFL589888 JFL655424 JFL720960 JFL786496 JFL852032 JFL917568 JFL983104 JFQ61 JFQ65600 JFQ131136 JFQ196672 JFQ262208 JFQ327744 JFQ393280 JFQ458816 JFQ524352 JFQ589888 JFQ655424 JFQ720960 JFQ786496 JFQ852032 JFQ917568 JFQ983104 JOX61 JOX65600 JOX131136 JOX196672 JOX262208 JOX327744 JOX393280 JOX458816 JOX524352 JOX589888 JOX655424 JOX720960 JOX786496 JOX852032 JOX917568 JOX983104 JPC61 JPC65600 JPC131136 JPC196672 JPC262208 JPC327744 JPC393280 JPC458816 JPC524352 JPC589888 JPC655424 JPC720960 JPC786496 JPC852032 JPC917568 JPC983104 JPH61 JPH65600 JPH131136 JPH196672 JPH262208 JPH327744 JPH393280 JPH458816 JPH524352 JPH589888 JPH655424 JPH720960 JPH786496 JPH852032 JPH917568 JPH983104 JPM61 JPM65600 JPM131136 JPM196672 JPM262208 JPM327744 JPM393280 JPM458816 JPM524352 JPM589888 JPM655424 JPM720960 JPM786496 JPM852032 JPM917568 JPM983104 JYT61 JYT65600 JYT131136 JYT196672 JYT262208 JYT327744 JYT393280 JYT458816 JYT524352 JYT589888 JYT655424 JYT720960 JYT786496 JYT852032 JYT917568 JYT983104 JYY61 JYY65600 JYY131136 JYY196672 JYY262208 JYY327744 JYY393280 JYY458816 JYY524352 JYY589888 JYY655424 JYY720960 JYY786496 JYY852032 JYY917568 JYY983104 JZD61 JZD65600 JZD131136 JZD196672 JZD262208 JZD327744 JZD393280 JZD458816 JZD524352 JZD589888 JZD655424 JZD720960 JZD786496 JZD852032 JZD917568 JZD983104 JZI61 JZI65600 JZI131136 JZI196672 JZI262208 JZI327744 JZI393280 JZI458816 JZI524352 JZI589888 JZI655424 JZI720960 JZI786496 JZI852032 JZI917568 JZI983104 KIP61 KIP65600 KIP131136 KIP196672 KIP262208 KIP327744 KIP393280 KIP458816 KIP524352 KIP589888 KIP655424 KIP720960 KIP786496 KIP852032 KIP917568 KIP983104 KIU61 KIU65600 KIU131136 KIU196672 KIU262208 KIU327744 KIU393280 KIU458816 KIU524352 KIU589888 KIU655424 KIU720960 KIU786496 KIU852032 KIU917568 KIU983104 KIZ61 KIZ65600 KIZ131136 KIZ196672 KIZ262208 KIZ327744 KIZ393280 KIZ458816 KIZ524352 KIZ589888 KIZ655424 KIZ720960 KIZ786496 KIZ852032 KIZ917568 KIZ983104 KJE61 KJE65600 KJE131136 KJE196672 KJE262208 KJE327744 KJE393280 KJE458816 KJE524352 KJE589888 KJE655424 KJE720960 KJE786496 KJE852032 KJE917568 KJE983104 KSL61 KSL65600 KSL131136 KSL196672 KSL262208 KSL327744 KSL393280 KSL458816 KSL524352 KSL589888 KSL655424 KSL720960 KSL786496 KSL852032 KSL917568 KSL983104 KSQ61 KSQ65600 KSQ131136 KSQ196672 KSQ262208 KSQ327744 KSQ393280 KSQ458816 KSQ524352 KSQ589888 KSQ655424 KSQ720960 KSQ786496 KSQ852032 KSQ917568 KSQ983104 KSV61 KSV65600 KSV131136 KSV196672 KSV262208 KSV327744 KSV393280 KSV458816 KSV524352 KSV589888 KSV655424 KSV720960 KSV786496 KSV852032 KSV917568 KSV983104 KTA61 KTA65600 KTA131136 KTA196672 KTA262208 KTA327744 KTA393280 KTA458816 KTA524352 KTA589888 KTA655424 KTA720960 KTA786496 KTA852032 KTA917568 KTA983104 LCH61 LCH65600 LCH131136 LCH196672 LCH262208 LCH327744 LCH393280 LCH458816 LCH524352 LCH589888 LCH655424 LCH720960 LCH786496 LCH852032 LCH917568 LCH983104 LCM61 LCM65600 LCM131136 LCM196672 LCM262208 LCM327744 LCM393280 LCM458816 LCM524352 LCM589888 LCM655424 LCM720960 LCM786496 LCM852032 LCM917568 LCM983104 LCR61 LCR65600 LCR131136 LCR196672 LCR262208 LCR327744 LCR393280 LCR458816 LCR524352 LCR589888 LCR655424 LCR720960 LCR786496 LCR852032 LCR917568 LCR983104 LCW61 LCW65600 LCW131136 LCW196672 LCW262208 LCW327744 LCW393280 LCW458816 LCW524352 LCW589888 LCW655424 LCW720960 LCW786496 LCW852032 LCW917568 LCW983104 LMD61 LMD65600 LMD131136 LMD196672 LMD262208 LMD327744 LMD393280 LMD458816 LMD524352 LMD589888 LMD655424 LMD720960 LMD786496 LMD852032 LMD917568 LMD983104 LMI61 LMI65600 LMI131136 LMI196672 LMI262208 LMI327744 LMI393280 LMI458816 LMI524352 LMI589888 LMI655424 LMI720960 LMI786496 LMI852032 LMI917568 LMI983104 LMN61 LMN65600 LMN131136 LMN196672 LMN262208 LMN327744 LMN393280 LMN458816 LMN524352 LMN589888 LMN655424 LMN720960 LMN786496 LMN852032 LMN917568 LMN983104 LMS61 LMS65600 LMS131136 LMS196672 LMS262208 LMS327744 LMS393280 LMS458816 LMS524352 LMS589888 LMS655424 LMS720960 LMS786496 LMS852032 LMS917568 LMS983104 LVZ61 LVZ65600 LVZ131136 LVZ196672 LVZ262208 LVZ327744 LVZ393280 LVZ458816 LVZ524352 LVZ589888 LVZ655424 LVZ720960 LVZ786496 LVZ852032 LVZ917568 LVZ983104 LWE61 LWE65600 LWE131136 LWE196672 LWE262208 LWE327744 LWE393280 LWE458816 LWE524352 LWE589888 LWE655424 LWE720960 LWE786496 LWE852032 LWE917568 LWE983104 LWJ61 LWJ65600 LWJ131136 LWJ196672 LWJ262208 LWJ327744 LWJ393280 LWJ458816 LWJ524352 LWJ589888 LWJ655424 LWJ720960 LWJ786496 LWJ852032 LWJ917568 LWJ983104 LWO61 LWO65600 LWO131136 LWO196672 LWO262208 LWO327744 LWO393280 LWO458816 LWO524352 LWO589888 LWO655424 LWO720960 LWO786496 LWO852032 LWO917568 LWO983104 MFV61 MFV65600 MFV131136 MFV196672 MFV262208 MFV327744 MFV393280 MFV458816 MFV524352 MFV589888 MFV655424 MFV720960 MFV786496 MFV852032 MFV917568 MFV983104 MGA61 MGA65600 MGA131136 MGA196672 MGA262208 MGA327744 MGA393280 MGA458816 MGA524352 MGA589888 MGA655424 MGA720960 MGA786496 MGA852032 MGA917568 MGA983104 MGF61 MGF65600 MGF131136 MGF196672 MGF262208 MGF327744 MGF393280 MGF458816 MGF524352 MGF589888 MGF655424 MGF720960 MGF786496 MGF852032 MGF917568 MGF983104 MGK61 MGK65600 MGK131136 MGK196672 MGK262208 MGK327744 MGK393280 MGK458816 MGK524352 MGK589888 MGK655424 MGK720960 MGK786496 MGK852032 MGK917568 MGK983104 MPR61 MPR65600 MPR131136 MPR196672 MPR262208 MPR327744 MPR393280 MPR458816 MPR524352 MPR589888 MPR655424 MPR720960 MPR786496 MPR852032 MPR917568 MPR983104 MPW61 MPW65600 MPW131136 MPW196672 MPW262208 MPW327744 MPW393280 MPW458816 MPW524352 MPW589888 MPW655424 MPW720960 MPW786496 MPW852032 MPW917568 MPW983104 MQB61 MQB65600 MQB131136 MQB196672 MQB262208 MQB327744 MQB393280 MQB458816 MQB524352 MQB589888 MQB655424 MQB720960 MQB786496 MQB852032 MQB917568 MQB983104 MQG61 MQG65600 MQG131136 MQG196672 MQG262208 MQG327744 MQG393280 MQG458816 MQG524352 MQG589888 MQG655424 MQG720960 MQG786496 MQG852032 MQG917568 MQG983104 MZN61 MZN65600 MZN131136 MZN196672 MZN262208 MZN327744 MZN393280 MZN458816 MZN524352 MZN589888 MZN655424 MZN720960 MZN786496 MZN852032 MZN917568 MZN983104 MZS61 MZS65600 MZS131136 MZS196672 MZS262208 MZS327744 MZS393280 MZS458816 MZS524352 MZS589888 MZS655424 MZS720960 MZS786496 MZS852032 MZS917568 MZS983104 MZX61 MZX65600 MZX131136 MZX196672 MZX262208 MZX327744 MZX393280 MZX458816 MZX524352 MZX589888 MZX655424 MZX720960 MZX786496 MZX852032 MZX917568 MZX983104 NAC61 NAC65600 NAC131136 NAC196672 NAC262208 NAC327744 NAC393280 NAC458816 NAC524352 NAC589888 NAC655424 NAC720960 NAC786496 NAC852032 NAC917568 NAC983104 NJJ61 NJJ65600 NJJ131136 NJJ196672 NJJ262208 NJJ327744 NJJ393280 NJJ458816 NJJ524352 NJJ589888 NJJ655424 NJJ720960 NJJ786496 NJJ852032 NJJ917568 NJJ983104 NJO61 NJO65600 NJO131136 NJO196672 NJO262208 NJO327744 NJO393280 NJO458816 NJO524352 NJO589888 NJO655424 NJO720960 NJO786496 NJO852032 NJO917568 NJO983104 NJT61 NJT65600 NJT131136 NJT196672 NJT262208 NJT327744 NJT393280 NJT458816 NJT524352 NJT589888 NJT655424 NJT720960 NJT786496 NJT852032 NJT917568 NJT983104 NJY61 NJY65600 NJY131136 NJY196672 NJY262208 NJY327744 NJY393280 NJY458816 NJY524352 NJY589888 NJY655424 NJY720960 NJY786496 NJY852032 NJY917568 NJY983104 NTF61 NTF65600 NTF131136 NTF196672 NTF262208 NTF327744 NTF393280 NTF458816 NTF524352 NTF589888 NTF655424 NTF720960 NTF786496 NTF852032 NTF917568 NTF983104 NTK61 NTK65600 NTK131136 NTK196672 NTK262208 NTK327744 NTK393280 NTK458816 NTK524352 NTK589888 NTK655424 NTK720960 NTK786496 NTK852032 NTK917568 NTK983104 NTP61 NTP65600 NTP131136 NTP196672 NTP262208 NTP327744 NTP393280 NTP458816 NTP524352 NTP589888 NTP655424 NTP720960 NTP786496 NTP852032 NTP917568 NTP983104 NTU61 NTU65600 NTU131136 NTU196672 NTU262208 NTU327744 NTU393280 NTU458816 NTU524352 NTU589888 NTU655424 NTU720960 NTU786496 NTU852032 NTU917568 NTU983104 ODB61 ODB65600 ODB131136 ODB196672 ODB262208 ODB327744 ODB393280 ODB458816 ODB524352 ODB589888 ODB655424 ODB720960 ODB786496 ODB852032 ODB917568 ODB983104 ODG61 ODG65600 ODG131136 ODG196672 ODG262208 ODG327744 ODG393280 ODG458816 ODG524352 ODG589888 ODG655424 ODG720960 ODG786496 ODG852032 ODG917568 ODG983104 ODL61 ODL65600 ODL131136 ODL196672 ODL262208 ODL327744 ODL393280 ODL458816 ODL524352 ODL589888 ODL655424 ODL720960 ODL786496 ODL852032 ODL917568 ODL983104 ODQ61 ODQ65600 ODQ131136 ODQ196672 ODQ262208 ODQ327744 ODQ393280 ODQ458816 ODQ524352 ODQ589888 ODQ655424 ODQ720960 ODQ786496 ODQ852032 ODQ917568 ODQ983104 OMX61 OMX65600 OMX131136 OMX196672 OMX262208 OMX327744 OMX393280 OMX458816 OMX524352 OMX589888 OMX655424 OMX720960 OMX786496 OMX852032 OMX917568 OMX983104 ONC61 ONC65600 ONC131136 ONC196672 ONC262208 ONC327744 ONC393280 ONC458816 ONC524352 ONC589888 ONC655424 ONC720960 ONC786496 ONC852032 ONC917568 ONC983104 ONH61 ONH65600 ONH131136 ONH196672 ONH262208 ONH327744 ONH393280 ONH458816 ONH524352 ONH589888 ONH655424 ONH720960 ONH786496 ONH852032 ONH917568 ONH983104 ONM61 ONM65600 ONM131136 ONM196672 ONM262208 ONM327744 ONM393280 ONM458816 ONM524352 ONM589888 ONM655424 ONM720960 ONM786496 ONM852032 ONM917568 ONM983104 OWT61 OWT65600 OWT131136 OWT196672 OWT262208 OWT327744 OWT393280 OWT458816 OWT524352 OWT589888 OWT655424 OWT720960 OWT786496 OWT852032 OWT917568 OWT983104 OWY61 OWY65600 OWY131136 OWY196672 OWY262208 OWY327744 OWY393280 OWY458816 OWY524352 OWY589888 OWY655424 OWY720960 OWY786496 OWY852032 OWY917568 OWY983104 OXD61 OXD65600 OXD131136 OXD196672 OXD262208 OXD327744 OXD393280 OXD458816 OXD524352 OXD589888 OXD655424 OXD720960 OXD786496 OXD852032 OXD917568 OXD983104 OXI61 OXI65600 OXI131136 OXI196672 OXI262208 OXI327744 OXI393280 OXI458816 OXI524352 OXI589888 OXI655424 OXI720960 OXI786496 OXI852032 OXI917568 OXI983104 PGP61 PGP65600 PGP131136 PGP196672 PGP262208 PGP327744 PGP393280 PGP458816 PGP524352 PGP589888 PGP655424 PGP720960 PGP786496 PGP852032 PGP917568 PGP983104 PGU61 PGU65600 PGU131136 PGU196672 PGU262208 PGU327744 PGU393280 PGU458816 PGU524352 PGU589888 PGU655424 PGU720960 PGU786496 PGU852032 PGU917568 PGU983104 PGZ61 PGZ65600 PGZ131136 PGZ196672 PGZ262208 PGZ327744 PGZ393280 PGZ458816 PGZ524352 PGZ589888 PGZ655424 PGZ720960 PGZ786496 PGZ852032 PGZ917568 PGZ983104 PHE61 PHE65600 PHE131136 PHE196672 PHE262208 PHE327744 PHE393280 PHE458816 PHE524352 PHE589888 PHE655424 PHE720960 PHE786496 PHE852032 PHE917568 PHE983104 PQL61 PQL65600 PQL131136 PQL196672 PQL262208 PQL327744 PQL393280 PQL458816 PQL524352 PQL589888 PQL655424 PQL720960 PQL786496 PQL852032 PQL917568 PQL983104 PQQ61 PQQ65600 PQQ131136 PQQ196672 PQQ262208 PQQ327744 PQQ393280 PQQ458816 PQQ524352 PQQ589888 PQQ655424 PQQ720960 PQQ786496 PQQ852032 PQQ917568 PQQ983104 PQV61 PQV65600 PQV131136 PQV196672 PQV262208 PQV327744 PQV393280 PQV458816 PQV524352 PQV589888 PQV655424 PQV720960 PQV786496 PQV852032 PQV917568 PQV983104 PRA61 PRA65600 PRA131136 PRA196672 PRA262208 PRA327744 PRA393280 PRA458816 PRA524352 PRA589888 PRA655424 PRA720960 PRA786496 PRA852032 PRA917568 PRA983104 QAH61 QAH65600 QAH131136 QAH196672 QAH262208 QAH327744 QAH393280 QAH458816 QAH524352 QAH589888 QAH655424 QAH720960 QAH786496 QAH852032 QAH917568 QAH983104 QAM61 QAM65600 QAM131136 QAM196672 QAM262208 QAM327744 QAM393280 QAM458816 QAM524352 QAM589888 QAM655424 QAM720960 QAM786496 QAM852032 QAM917568 QAM983104 QAR61 QAR65600 QAR131136 QAR196672 QAR262208 QAR327744 QAR393280 QAR458816 QAR524352 QAR589888 QAR655424 QAR720960 QAR786496 QAR852032 QAR917568 QAR983104 QAW61 QAW65600 QAW131136 QAW196672 QAW262208 QAW327744 QAW393280 QAW458816 QAW524352 QAW589888 QAW655424 QAW720960 QAW786496 QAW852032 QAW917568 QAW983104 QKD61 QKD65600 QKD131136 QKD196672 QKD262208 QKD327744 QKD393280 QKD458816 QKD524352 QKD589888 QKD655424 QKD720960 QKD786496 QKD852032 QKD917568 QKD983104 QKI61 QKI65600 QKI131136 QKI196672 QKI262208 QKI327744 QKI393280 QKI458816 QKI524352 QKI589888 QKI655424 QKI720960 QKI786496 QKI852032 QKI917568 QKI983104 QKN61 QKN65600 QKN131136 QKN196672 QKN262208 QKN327744 QKN393280 QKN458816 QKN524352 QKN589888 QKN655424 QKN720960 QKN786496 QKN852032 QKN917568 QKN983104 QKS61 QKS65600 QKS131136 QKS196672 QKS262208 QKS327744 QKS393280 QKS458816 QKS524352 QKS589888 QKS655424 QKS720960 QKS786496 QKS852032 QKS917568 QKS983104 QTZ61 QTZ65600 QTZ131136 QTZ196672 QTZ262208 QTZ327744 QTZ393280 QTZ458816 QTZ524352 QTZ589888 QTZ655424 QTZ720960 QTZ786496 QTZ852032 QTZ917568 QTZ983104 QUE61 QUE65600 QUE131136 QUE196672 QUE262208 QUE327744 QUE393280 QUE458816 QUE524352 QUE589888 QUE655424 QUE720960 QUE786496 QUE852032 QUE917568 QUE983104 QUJ61 QUJ65600 QUJ131136 QUJ196672 QUJ262208 QUJ327744 QUJ393280 QUJ458816 QUJ524352 QUJ589888 QUJ655424 QUJ720960 QUJ786496 QUJ852032 QUJ917568 QUJ983104 QUO61 QUO65600 QUO131136 QUO196672 QUO262208 QUO327744 QUO393280 QUO458816 QUO524352 QUO589888 QUO655424 QUO720960 QUO786496 QUO852032 QUO917568 QUO983104 RDV61 RDV65600 RDV131136 RDV196672 RDV262208 RDV327744 RDV393280 RDV458816 RDV524352 RDV589888 RDV655424 RDV720960 RDV786496 RDV852032 RDV917568 RDV983104 REA61 REA65600 REA131136 REA196672 REA262208 REA327744 REA393280 REA458816 REA524352 REA589888 REA655424 REA720960 REA786496 REA852032 REA917568 REA983104 REF61 REF65600 REF131136 REF196672 REF262208 REF327744 REF393280 REF458816 REF524352 REF589888 REF655424 REF720960 REF786496 REF852032 REF917568 REF983104 REK61 REK65600 REK131136 REK196672 REK262208 REK327744 REK393280 REK458816 REK524352 REK589888 REK655424 REK720960 REK786496 REK852032 REK917568 REK983104 RNR61 RNR65600 RNR131136 RNR196672 RNR262208 RNR327744 RNR393280 RNR458816 RNR524352 RNR589888 RNR655424 RNR720960 RNR786496 RNR852032 RNR917568 RNR983104 RNW61 RNW65600 RNW131136 RNW196672 RNW262208 RNW327744 RNW393280 RNW458816 RNW524352 RNW589888 RNW655424 RNW720960 RNW786496 RNW852032 RNW917568 RNW983104 ROB61 ROB65600 ROB131136 ROB196672 ROB262208 ROB327744 ROB393280 ROB458816 ROB524352 ROB589888 ROB655424 ROB720960 ROB786496 ROB852032 ROB917568 ROB983104 ROG61 ROG65600 ROG131136 ROG196672 ROG262208 ROG327744 ROG393280 ROG458816 ROG524352 ROG589888 ROG655424 ROG720960 ROG786496 ROG852032 ROG917568 ROG983104 RXN61 RXN65600 RXN131136 RXN196672 RXN262208 RXN327744 RXN393280 RXN458816 RXN524352 RXN589888 RXN655424 RXN720960 RXN786496 RXN852032 RXN917568 RXN983104 RXS61 RXS65600 RXS131136 RXS196672 RXS262208 RXS327744 RXS393280 RXS458816 RXS524352 RXS589888 RXS655424 RXS720960 RXS786496 RXS852032 RXS917568 RXS983104 RXX61 RXX65600 RXX131136 RXX196672 RXX262208 RXX327744 RXX393280 RXX458816 RXX524352 RXX589888 RXX655424 RXX720960 RXX786496 RXX852032 RXX917568 RXX983104 RYC61 RYC65600 RYC131136 RYC196672 RYC262208 RYC327744 RYC393280 RYC458816 RYC524352 RYC589888 RYC655424 RYC720960 RYC786496 RYC852032 RYC917568 RYC983104 SHJ61 SHJ65600 SHJ131136 SHJ196672 SHJ262208 SHJ327744 SHJ393280 SHJ458816 SHJ524352 SHJ589888 SHJ655424 SHJ720960 SHJ786496 SHJ852032 SHJ917568 SHJ983104 SHO61 SHO65600 SHO131136 SHO196672 SHO262208 SHO327744 SHO393280 SHO458816 SHO524352 SHO589888 SHO655424 SHO720960 SHO786496 SHO852032 SHO917568 SHO983104 SHT61 SHT65600 SHT131136 SHT196672 SHT262208 SHT327744 SHT393280 SHT458816 SHT524352 SHT589888 SHT655424 SHT720960 SHT786496 SHT852032 SHT917568 SHT983104 SHY61 SHY65600 SHY131136 SHY196672 SHY262208 SHY327744 SHY393280 SHY458816 SHY524352 SHY589888 SHY655424 SHY720960 SHY786496 SHY852032 SHY917568 SHY983104 SRF61 SRF65600 SRF131136 SRF196672 SRF262208 SRF327744 SRF393280 SRF458816 SRF524352 SRF589888 SRF655424 SRF720960 SRF786496 SRF852032 SRF917568 SRF983104 SRK61 SRK65600 SRK131136 SRK196672 SRK262208 SRK327744 SRK393280 SRK458816 SRK524352 SRK589888 SRK655424 SRK720960 SRK786496 SRK852032 SRK917568 SRK983104 SRP61 SRP65600 SRP131136 SRP196672 SRP262208 SRP327744 SRP393280 SRP458816 SRP524352 SRP589888 SRP655424 SRP720960 SRP786496 SRP852032 SRP917568 SRP983104 SRU61 SRU65600 SRU131136 SRU196672 SRU262208 SRU327744 SRU393280 SRU458816 SRU524352 SRU589888 SRU655424 SRU720960 SRU786496 SRU852032 SRU917568 SRU983104 TBB61 TBB65600 TBB131136 TBB196672 TBB262208 TBB327744 TBB393280 TBB458816 TBB524352 TBB589888 TBB655424 TBB720960 TBB786496 TBB852032 TBB917568 TBB983104 TBG61 TBG65600 TBG131136 TBG196672 TBG262208 TBG327744 TBG393280 TBG458816 TBG524352 TBG589888 TBG655424 TBG720960 TBG786496 TBG852032 TBG917568 TBG983104 TBL61 TBL65600 TBL131136 TBL196672 TBL262208 TBL327744 TBL393280 TBL458816 TBL524352 TBL589888 TBL655424 TBL720960 TBL786496 TBL852032 TBL917568 TBL983104 TBQ61 TBQ65600 TBQ131136 TBQ196672 TBQ262208 TBQ327744 TBQ393280 TBQ458816 TBQ524352 TBQ589888 TBQ655424 TBQ720960 TBQ786496 TBQ852032 TBQ917568 TBQ983104 TKX61 TKX65600 TKX131136 TKX196672 TKX262208 TKX327744 TKX393280 TKX458816 TKX524352 TKX589888 TKX655424 TKX720960 TKX786496 TKX852032 TKX917568 TKX983104 TLC61 TLC65600 TLC131136 TLC196672 TLC262208 TLC327744 TLC393280 TLC458816 TLC524352 TLC589888 TLC655424 TLC720960 TLC786496 TLC852032 TLC917568 TLC983104 TLH61 TLH65600 TLH131136 TLH196672 TLH262208 TLH327744 TLH393280 TLH458816 TLH524352 TLH589888 TLH655424 TLH720960 TLH786496 TLH852032 TLH917568 TLH983104 TLM61 TLM65600 TLM131136 TLM196672 TLM262208 TLM327744 TLM393280 TLM458816 TLM524352 TLM589888 TLM655424 TLM720960 TLM786496 TLM852032 TLM917568 TLM983104 TUT61 TUT65600 TUT131136 TUT196672 TUT262208 TUT327744 TUT393280 TUT458816 TUT524352 TUT589888 TUT655424 TUT720960 TUT786496 TUT852032 TUT917568 TUT983104 TUY61 TUY65600 TUY131136 TUY196672 TUY262208 TUY327744 TUY393280 TUY458816 TUY524352 TUY589888 TUY655424 TUY720960 TUY786496 TUY852032 TUY917568 TUY983104 TVD61 TVD65600 TVD131136 TVD196672 TVD262208 TVD327744 TVD393280 TVD458816 TVD524352 TVD589888 TVD655424 TVD720960 TVD786496 TVD852032 TVD917568 TVD983104 TVI61 TVI65600 TVI131136 TVI196672 TVI262208 TVI327744 TVI393280 TVI458816 TVI524352 TVI589888 TVI655424 TVI720960 TVI786496 TVI852032 TVI917568 TVI983104 UEP61 UEP65600 UEP131136 UEP196672 UEP262208 UEP327744 UEP393280 UEP458816 UEP524352 UEP589888 UEP655424 UEP720960 UEP786496 UEP852032 UEP917568 UEP983104 UEU61 UEU65600 UEU131136 UEU196672 UEU262208 UEU327744 UEU393280 UEU458816 UEU524352 UEU589888 UEU655424 UEU720960 UEU786496 UEU852032 UEU917568 UEU983104 UEZ61 UEZ65600 UEZ131136 UEZ196672 UEZ262208 UEZ327744 UEZ393280 UEZ458816 UEZ524352 UEZ589888 UEZ655424 UEZ720960 UEZ786496 UEZ852032 UEZ917568 UEZ983104 UFE61 UFE65600 UFE131136 UFE196672 UFE262208 UFE327744 UFE393280 UFE458816 UFE524352 UFE589888 UFE655424 UFE720960 UFE786496 UFE852032 UFE917568 UFE983104 UOL61 UOL65600 UOL131136 UOL196672 UOL262208 UOL327744 UOL393280 UOL458816 UOL524352 UOL589888 UOL655424 UOL720960 UOL786496 UOL852032 UOL917568 UOL983104 UOQ61 UOQ65600 UOQ131136 UOQ196672 UOQ262208 UOQ327744 UOQ393280 UOQ458816 UOQ524352 UOQ589888 UOQ655424 UOQ720960 UOQ786496 UOQ852032 UOQ917568 UOQ983104 UOV61 UOV65600 UOV131136 UOV196672 UOV262208 UOV327744 UOV393280 UOV458816 UOV524352 UOV589888 UOV655424 UOV720960 UOV786496 UOV852032 UOV917568 UOV983104 UPA61 UPA65600 UPA131136 UPA196672 UPA262208 UPA327744 UPA393280 UPA458816 UPA524352 UPA589888 UPA655424 UPA720960 UPA786496 UPA852032 UPA917568 UPA983104 UYH61 UYH65600 UYH131136 UYH196672 UYH262208 UYH327744 UYH393280 UYH458816 UYH524352 UYH589888 UYH655424 UYH720960 UYH786496 UYH852032 UYH917568 UYH983104 UYM61 UYM65600 UYM131136 UYM196672 UYM262208 UYM327744 UYM393280 UYM458816 UYM524352 UYM589888 UYM655424 UYM720960 UYM786496 UYM852032 UYM917568 UYM983104 UYR61 UYR65600 UYR131136 UYR196672 UYR262208 UYR327744 UYR393280 UYR458816 UYR524352 UYR589888 UYR655424 UYR720960 UYR786496 UYR852032 UYR917568 UYR983104 UYW61 UYW65600 UYW131136 UYW196672 UYW262208 UYW327744 UYW393280 UYW458816 UYW524352 UYW589888 UYW655424 UYW720960 UYW786496 UYW852032 UYW917568 UYW983104 VID61 VID65600 VID131136 VID196672 VID262208 VID327744 VID393280 VID458816 VID524352 VID589888 VID655424 VID720960 VID786496 VID852032 VID917568 VID983104 VII61 VII65600 VII131136 VII196672 VII262208 VII327744 VII393280 VII458816 VII524352 VII589888 VII655424 VII720960 VII786496 VII852032 VII917568 VII983104 VIN61 VIN65600 VIN131136 VIN196672 VIN262208 VIN327744 VIN393280 VIN458816 VIN524352 VIN589888 VIN655424 VIN720960 VIN786496 VIN852032 VIN917568 VIN983104 VIS61 VIS65600 VIS131136 VIS196672 VIS262208 VIS327744 VIS393280 VIS458816 VIS524352 VIS589888 VIS655424 VIS720960 VIS786496 VIS852032 VIS917568 VIS983104 VRZ61 VRZ65600 VRZ131136 VRZ196672 VRZ262208 VRZ327744 VRZ393280 VRZ458816 VRZ524352 VRZ589888 VRZ655424 VRZ720960 VRZ786496 VRZ852032 VRZ917568 VRZ983104 VSE61 VSE65600 VSE131136 VSE196672 VSE262208 VSE327744 VSE393280 VSE458816 VSE524352 VSE589888 VSE655424 VSE720960 VSE786496 VSE852032 VSE917568 VSE983104 VSJ61 VSJ65600 VSJ131136 VSJ196672 VSJ262208 VSJ327744 VSJ393280 VSJ458816 VSJ524352 VSJ589888 VSJ655424 VSJ720960 VSJ786496 VSJ852032 VSJ917568 VSJ983104 VSO61 VSO65600 VSO131136 VSO196672 VSO262208 VSO327744 VSO393280 VSO458816 VSO524352 VSO589888 VSO655424 VSO720960 VSO786496 VSO852032 VSO917568 VSO983104 WBV61 WBV65600 WBV131136 WBV196672 WBV262208 WBV327744 WBV393280 WBV458816 WBV524352 WBV589888 WBV655424 WBV720960 WBV786496 WBV852032 WBV917568 WBV983104 WCA61 WCA65600 WCA131136 WCA196672 WCA262208 WCA327744 WCA393280 WCA458816 WCA524352 WCA589888 WCA655424 WCA720960 WCA786496 WCA852032 WCA917568 WCA983104 WCF61 WCF65600 WCF131136 WCF196672 WCF262208 WCF327744 WCF393280 WCF458816 WCF524352 WCF589888 WCF655424 WCF720960 WCF786496 WCF852032 WCF917568 WCF983104 WCK61 WCK65600 WCK131136 WCK196672 WCK262208 WCK327744 WCK393280 WCK458816 WCK524352 WCK589888 WCK655424 WCK720960 WCK786496 WCK852032 WCK917568 WCK983104 WLR61 WLR65600 WLR131136 WLR196672 WLR262208 WLR327744 WLR393280 WLR458816 WLR524352 WLR589888 WLR655424 WLR720960 WLR786496 WLR852032 WLR917568 WLR983104 WLW61 WLW65600 WLW131136 WLW196672 WLW262208 WLW327744 WLW393280 WLW458816 WLW524352 WLW589888 WLW655424 WLW720960 WLW786496 WLW852032 WLW917568 WLW983104 WMB61 WMB65600 WMB131136 WMB196672 WMB262208 WMB327744 WMB393280 WMB458816 WMB524352 WMB589888 WMB655424 WMB720960 WMB786496 WMB852032 WMB917568 WMB983104 WMG61 WMG65600 WMG131136 WMG196672 WMG262208 WMG327744 WMG393280 WMG458816 WMG524352 WMG589888 WMG655424 WMG720960 WMG786496 WMG852032 WMG917568 WMG983104 WVN61 WVN65600 WVN131136 WVN196672 WVN262208 WVN327744 WVN393280 WVN458816 WVN524352 WVN589888 WVN655424 WVN720960 WVN786496 WVN852032 WVN917568 WVN983104 WVS61 WVS65600 WVS131136 WVS196672 WVS262208 WVS327744 WVS393280 WVS458816 WVS524352 WVS589888 WVS655424 WVS720960 WVS786496 WVS852032 WVS917568 WVS983104 WVX61 WVX65600 WVX131136 WVX196672 WVX262208 WVX327744 WVX393280 WVX458816 WVX524352 WVX589888 WVX655424 WVX720960 WVX786496 WVX852032 WVX917568 WVX983104 WWC61 WWC65600 WWC131136 WWC196672 WWC262208 WWC327744 WWC393280 WWC458816 WWC524352 WWC589888 WWC655424 WWC720960 WWC786496 WWC852032 WWC917568 WWC983104"/>
    <dataValidation type="list" allowBlank="1" showInputMessage="1" showErrorMessage="1" sqref="O62:P62 O113:P113">
      <formula1>工事届用主要用途</formula1>
    </dataValidation>
    <dataValidation type="list" allowBlank="1" showInputMessage="1" showErrorMessage="1" sqref="O63:P64 O114:P115">
      <formula1>工事届用主要用途2</formula1>
    </dataValidation>
  </dataValidations>
  <printOptions horizontalCentered="1"/>
  <pageMargins left="0.78740157480314965" right="0.78740157480314965" top="0.51181102362204722" bottom="0.51181102362204722" header="0.51181102362204722" footer="0.51181102362204722"/>
  <pageSetup paperSize="9" scale="99" fitToHeight="4" orientation="portrait" blackAndWhite="1" horizontalDpi="300" verticalDpi="300" r:id="rId1"/>
  <rowBreaks count="3" manualBreakCount="3">
    <brk id="43" max="27" man="1"/>
    <brk id="96" max="27" man="1"/>
    <brk id="111" max="27" man="1"/>
  </rowBreaks>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　,○"</xm:f>
          </x14:formula1>
          <xm:sqref>SRG983143 JD68:JD69 SZ68:SZ69 ACV68:ACV69 AMR68:AMR69 AWN68:AWN69 BGJ68:BGJ69 BQF68:BQF69 CAB68:CAB69 CJX68:CJX69 CTT68:CTT69 DDP68:DDP69 DNL68:DNL69 DXH68:DXH69 EHD68:EHD69 EQZ68:EQZ69 FAV68:FAV69 FKR68:FKR69 FUN68:FUN69 GEJ68:GEJ69 GOF68:GOF69 GYB68:GYB69 HHX68:HHX69 HRT68:HRT69 IBP68:IBP69 ILL68:ILL69 IVH68:IVH69 JFD68:JFD69 JOZ68:JOZ69 JYV68:JYV69 KIR68:KIR69 KSN68:KSN69 LCJ68:LCJ69 LMF68:LMF69 LWB68:LWB69 MFX68:MFX69 MPT68:MPT69 MZP68:MZP69 NJL68:NJL69 NTH68:NTH69 ODD68:ODD69 OMZ68:OMZ69 OWV68:OWV69 PGR68:PGR69 PQN68:PQN69 QAJ68:QAJ69 QKF68:QKF69 QUB68:QUB69 RDX68:RDX69 RNT68:RNT69 RXP68:RXP69 SHL68:SHL69 SRH68:SRH69 TBD68:TBD69 TKZ68:TKZ69 TUV68:TUV69 UER68:UER69 UON68:UON69 UYJ68:UYJ69 VIF68:VIF69 VSB68:VSB69 WBX68:WBX69 WLT68:WLT69 WVP68:WVP69 H65607:H65608 JD65607:JD65608 SZ65607:SZ65608 ACV65607:ACV65608 AMR65607:AMR65608 AWN65607:AWN65608 BGJ65607:BGJ65608 BQF65607:BQF65608 CAB65607:CAB65608 CJX65607:CJX65608 CTT65607:CTT65608 DDP65607:DDP65608 DNL65607:DNL65608 DXH65607:DXH65608 EHD65607:EHD65608 EQZ65607:EQZ65608 FAV65607:FAV65608 FKR65607:FKR65608 FUN65607:FUN65608 GEJ65607:GEJ65608 GOF65607:GOF65608 GYB65607:GYB65608 HHX65607:HHX65608 HRT65607:HRT65608 IBP65607:IBP65608 ILL65607:ILL65608 IVH65607:IVH65608 JFD65607:JFD65608 JOZ65607:JOZ65608 JYV65607:JYV65608 KIR65607:KIR65608 KSN65607:KSN65608 LCJ65607:LCJ65608 LMF65607:LMF65608 LWB65607:LWB65608 MFX65607:MFX65608 MPT65607:MPT65608 MZP65607:MZP65608 NJL65607:NJL65608 NTH65607:NTH65608 ODD65607:ODD65608 OMZ65607:OMZ65608 OWV65607:OWV65608 PGR65607:PGR65608 PQN65607:PQN65608 QAJ65607:QAJ65608 QKF65607:QKF65608 QUB65607:QUB65608 RDX65607:RDX65608 RNT65607:RNT65608 RXP65607:RXP65608 SHL65607:SHL65608 SRH65607:SRH65608 TBD65607:TBD65608 TKZ65607:TKZ65608 TUV65607:TUV65608 UER65607:UER65608 UON65607:UON65608 UYJ65607:UYJ65608 VIF65607:VIF65608 VSB65607:VSB65608 WBX65607:WBX65608 WLT65607:WLT65608 WVP65607:WVP65608 H131143:H131144 JD131143:JD131144 SZ131143:SZ131144 ACV131143:ACV131144 AMR131143:AMR131144 AWN131143:AWN131144 BGJ131143:BGJ131144 BQF131143:BQF131144 CAB131143:CAB131144 CJX131143:CJX131144 CTT131143:CTT131144 DDP131143:DDP131144 DNL131143:DNL131144 DXH131143:DXH131144 EHD131143:EHD131144 EQZ131143:EQZ131144 FAV131143:FAV131144 FKR131143:FKR131144 FUN131143:FUN131144 GEJ131143:GEJ131144 GOF131143:GOF131144 GYB131143:GYB131144 HHX131143:HHX131144 HRT131143:HRT131144 IBP131143:IBP131144 ILL131143:ILL131144 IVH131143:IVH131144 JFD131143:JFD131144 JOZ131143:JOZ131144 JYV131143:JYV131144 KIR131143:KIR131144 KSN131143:KSN131144 LCJ131143:LCJ131144 LMF131143:LMF131144 LWB131143:LWB131144 MFX131143:MFX131144 MPT131143:MPT131144 MZP131143:MZP131144 NJL131143:NJL131144 NTH131143:NTH131144 ODD131143:ODD131144 OMZ131143:OMZ131144 OWV131143:OWV131144 PGR131143:PGR131144 PQN131143:PQN131144 QAJ131143:QAJ131144 QKF131143:QKF131144 QUB131143:QUB131144 RDX131143:RDX131144 RNT131143:RNT131144 RXP131143:RXP131144 SHL131143:SHL131144 SRH131143:SRH131144 TBD131143:TBD131144 TKZ131143:TKZ131144 TUV131143:TUV131144 UER131143:UER131144 UON131143:UON131144 UYJ131143:UYJ131144 VIF131143:VIF131144 VSB131143:VSB131144 WBX131143:WBX131144 WLT131143:WLT131144 WVP131143:WVP131144 H196679:H196680 JD196679:JD196680 SZ196679:SZ196680 ACV196679:ACV196680 AMR196679:AMR196680 AWN196679:AWN196680 BGJ196679:BGJ196680 BQF196679:BQF196680 CAB196679:CAB196680 CJX196679:CJX196680 CTT196679:CTT196680 DDP196679:DDP196680 DNL196679:DNL196680 DXH196679:DXH196680 EHD196679:EHD196680 EQZ196679:EQZ196680 FAV196679:FAV196680 FKR196679:FKR196680 FUN196679:FUN196680 GEJ196679:GEJ196680 GOF196679:GOF196680 GYB196679:GYB196680 HHX196679:HHX196680 HRT196679:HRT196680 IBP196679:IBP196680 ILL196679:ILL196680 IVH196679:IVH196680 JFD196679:JFD196680 JOZ196679:JOZ196680 JYV196679:JYV196680 KIR196679:KIR196680 KSN196679:KSN196680 LCJ196679:LCJ196680 LMF196679:LMF196680 LWB196679:LWB196680 MFX196679:MFX196680 MPT196679:MPT196680 MZP196679:MZP196680 NJL196679:NJL196680 NTH196679:NTH196680 ODD196679:ODD196680 OMZ196679:OMZ196680 OWV196679:OWV196680 PGR196679:PGR196680 PQN196679:PQN196680 QAJ196679:QAJ196680 QKF196679:QKF196680 QUB196679:QUB196680 RDX196679:RDX196680 RNT196679:RNT196680 RXP196679:RXP196680 SHL196679:SHL196680 SRH196679:SRH196680 TBD196679:TBD196680 TKZ196679:TKZ196680 TUV196679:TUV196680 UER196679:UER196680 UON196679:UON196680 UYJ196679:UYJ196680 VIF196679:VIF196680 VSB196679:VSB196680 WBX196679:WBX196680 WLT196679:WLT196680 WVP196679:WVP196680 H262215:H262216 JD262215:JD262216 SZ262215:SZ262216 ACV262215:ACV262216 AMR262215:AMR262216 AWN262215:AWN262216 BGJ262215:BGJ262216 BQF262215:BQF262216 CAB262215:CAB262216 CJX262215:CJX262216 CTT262215:CTT262216 DDP262215:DDP262216 DNL262215:DNL262216 DXH262215:DXH262216 EHD262215:EHD262216 EQZ262215:EQZ262216 FAV262215:FAV262216 FKR262215:FKR262216 FUN262215:FUN262216 GEJ262215:GEJ262216 GOF262215:GOF262216 GYB262215:GYB262216 HHX262215:HHX262216 HRT262215:HRT262216 IBP262215:IBP262216 ILL262215:ILL262216 IVH262215:IVH262216 JFD262215:JFD262216 JOZ262215:JOZ262216 JYV262215:JYV262216 KIR262215:KIR262216 KSN262215:KSN262216 LCJ262215:LCJ262216 LMF262215:LMF262216 LWB262215:LWB262216 MFX262215:MFX262216 MPT262215:MPT262216 MZP262215:MZP262216 NJL262215:NJL262216 NTH262215:NTH262216 ODD262215:ODD262216 OMZ262215:OMZ262216 OWV262215:OWV262216 PGR262215:PGR262216 PQN262215:PQN262216 QAJ262215:QAJ262216 QKF262215:QKF262216 QUB262215:QUB262216 RDX262215:RDX262216 RNT262215:RNT262216 RXP262215:RXP262216 SHL262215:SHL262216 SRH262215:SRH262216 TBD262215:TBD262216 TKZ262215:TKZ262216 TUV262215:TUV262216 UER262215:UER262216 UON262215:UON262216 UYJ262215:UYJ262216 VIF262215:VIF262216 VSB262215:VSB262216 WBX262215:WBX262216 WLT262215:WLT262216 WVP262215:WVP262216 H327751:H327752 JD327751:JD327752 SZ327751:SZ327752 ACV327751:ACV327752 AMR327751:AMR327752 AWN327751:AWN327752 BGJ327751:BGJ327752 BQF327751:BQF327752 CAB327751:CAB327752 CJX327751:CJX327752 CTT327751:CTT327752 DDP327751:DDP327752 DNL327751:DNL327752 DXH327751:DXH327752 EHD327751:EHD327752 EQZ327751:EQZ327752 FAV327751:FAV327752 FKR327751:FKR327752 FUN327751:FUN327752 GEJ327751:GEJ327752 GOF327751:GOF327752 GYB327751:GYB327752 HHX327751:HHX327752 HRT327751:HRT327752 IBP327751:IBP327752 ILL327751:ILL327752 IVH327751:IVH327752 JFD327751:JFD327752 JOZ327751:JOZ327752 JYV327751:JYV327752 KIR327751:KIR327752 KSN327751:KSN327752 LCJ327751:LCJ327752 LMF327751:LMF327752 LWB327751:LWB327752 MFX327751:MFX327752 MPT327751:MPT327752 MZP327751:MZP327752 NJL327751:NJL327752 NTH327751:NTH327752 ODD327751:ODD327752 OMZ327751:OMZ327752 OWV327751:OWV327752 PGR327751:PGR327752 PQN327751:PQN327752 QAJ327751:QAJ327752 QKF327751:QKF327752 QUB327751:QUB327752 RDX327751:RDX327752 RNT327751:RNT327752 RXP327751:RXP327752 SHL327751:SHL327752 SRH327751:SRH327752 TBD327751:TBD327752 TKZ327751:TKZ327752 TUV327751:TUV327752 UER327751:UER327752 UON327751:UON327752 UYJ327751:UYJ327752 VIF327751:VIF327752 VSB327751:VSB327752 WBX327751:WBX327752 WLT327751:WLT327752 WVP327751:WVP327752 H393287:H393288 JD393287:JD393288 SZ393287:SZ393288 ACV393287:ACV393288 AMR393287:AMR393288 AWN393287:AWN393288 BGJ393287:BGJ393288 BQF393287:BQF393288 CAB393287:CAB393288 CJX393287:CJX393288 CTT393287:CTT393288 DDP393287:DDP393288 DNL393287:DNL393288 DXH393287:DXH393288 EHD393287:EHD393288 EQZ393287:EQZ393288 FAV393287:FAV393288 FKR393287:FKR393288 FUN393287:FUN393288 GEJ393287:GEJ393288 GOF393287:GOF393288 GYB393287:GYB393288 HHX393287:HHX393288 HRT393287:HRT393288 IBP393287:IBP393288 ILL393287:ILL393288 IVH393287:IVH393288 JFD393287:JFD393288 JOZ393287:JOZ393288 JYV393287:JYV393288 KIR393287:KIR393288 KSN393287:KSN393288 LCJ393287:LCJ393288 LMF393287:LMF393288 LWB393287:LWB393288 MFX393287:MFX393288 MPT393287:MPT393288 MZP393287:MZP393288 NJL393287:NJL393288 NTH393287:NTH393288 ODD393287:ODD393288 OMZ393287:OMZ393288 OWV393287:OWV393288 PGR393287:PGR393288 PQN393287:PQN393288 QAJ393287:QAJ393288 QKF393287:QKF393288 QUB393287:QUB393288 RDX393287:RDX393288 RNT393287:RNT393288 RXP393287:RXP393288 SHL393287:SHL393288 SRH393287:SRH393288 TBD393287:TBD393288 TKZ393287:TKZ393288 TUV393287:TUV393288 UER393287:UER393288 UON393287:UON393288 UYJ393287:UYJ393288 VIF393287:VIF393288 VSB393287:VSB393288 WBX393287:WBX393288 WLT393287:WLT393288 WVP393287:WVP393288 H458823:H458824 JD458823:JD458824 SZ458823:SZ458824 ACV458823:ACV458824 AMR458823:AMR458824 AWN458823:AWN458824 BGJ458823:BGJ458824 BQF458823:BQF458824 CAB458823:CAB458824 CJX458823:CJX458824 CTT458823:CTT458824 DDP458823:DDP458824 DNL458823:DNL458824 DXH458823:DXH458824 EHD458823:EHD458824 EQZ458823:EQZ458824 FAV458823:FAV458824 FKR458823:FKR458824 FUN458823:FUN458824 GEJ458823:GEJ458824 GOF458823:GOF458824 GYB458823:GYB458824 HHX458823:HHX458824 HRT458823:HRT458824 IBP458823:IBP458824 ILL458823:ILL458824 IVH458823:IVH458824 JFD458823:JFD458824 JOZ458823:JOZ458824 JYV458823:JYV458824 KIR458823:KIR458824 KSN458823:KSN458824 LCJ458823:LCJ458824 LMF458823:LMF458824 LWB458823:LWB458824 MFX458823:MFX458824 MPT458823:MPT458824 MZP458823:MZP458824 NJL458823:NJL458824 NTH458823:NTH458824 ODD458823:ODD458824 OMZ458823:OMZ458824 OWV458823:OWV458824 PGR458823:PGR458824 PQN458823:PQN458824 QAJ458823:QAJ458824 QKF458823:QKF458824 QUB458823:QUB458824 RDX458823:RDX458824 RNT458823:RNT458824 RXP458823:RXP458824 SHL458823:SHL458824 SRH458823:SRH458824 TBD458823:TBD458824 TKZ458823:TKZ458824 TUV458823:TUV458824 UER458823:UER458824 UON458823:UON458824 UYJ458823:UYJ458824 VIF458823:VIF458824 VSB458823:VSB458824 WBX458823:WBX458824 WLT458823:WLT458824 WVP458823:WVP458824 H524359:H524360 JD524359:JD524360 SZ524359:SZ524360 ACV524359:ACV524360 AMR524359:AMR524360 AWN524359:AWN524360 BGJ524359:BGJ524360 BQF524359:BQF524360 CAB524359:CAB524360 CJX524359:CJX524360 CTT524359:CTT524360 DDP524359:DDP524360 DNL524359:DNL524360 DXH524359:DXH524360 EHD524359:EHD524360 EQZ524359:EQZ524360 FAV524359:FAV524360 FKR524359:FKR524360 FUN524359:FUN524360 GEJ524359:GEJ524360 GOF524359:GOF524360 GYB524359:GYB524360 HHX524359:HHX524360 HRT524359:HRT524360 IBP524359:IBP524360 ILL524359:ILL524360 IVH524359:IVH524360 JFD524359:JFD524360 JOZ524359:JOZ524360 JYV524359:JYV524360 KIR524359:KIR524360 KSN524359:KSN524360 LCJ524359:LCJ524360 LMF524359:LMF524360 LWB524359:LWB524360 MFX524359:MFX524360 MPT524359:MPT524360 MZP524359:MZP524360 NJL524359:NJL524360 NTH524359:NTH524360 ODD524359:ODD524360 OMZ524359:OMZ524360 OWV524359:OWV524360 PGR524359:PGR524360 PQN524359:PQN524360 QAJ524359:QAJ524360 QKF524359:QKF524360 QUB524359:QUB524360 RDX524359:RDX524360 RNT524359:RNT524360 RXP524359:RXP524360 SHL524359:SHL524360 SRH524359:SRH524360 TBD524359:TBD524360 TKZ524359:TKZ524360 TUV524359:TUV524360 UER524359:UER524360 UON524359:UON524360 UYJ524359:UYJ524360 VIF524359:VIF524360 VSB524359:VSB524360 WBX524359:WBX524360 WLT524359:WLT524360 WVP524359:WVP524360 H589895:H589896 JD589895:JD589896 SZ589895:SZ589896 ACV589895:ACV589896 AMR589895:AMR589896 AWN589895:AWN589896 BGJ589895:BGJ589896 BQF589895:BQF589896 CAB589895:CAB589896 CJX589895:CJX589896 CTT589895:CTT589896 DDP589895:DDP589896 DNL589895:DNL589896 DXH589895:DXH589896 EHD589895:EHD589896 EQZ589895:EQZ589896 FAV589895:FAV589896 FKR589895:FKR589896 FUN589895:FUN589896 GEJ589895:GEJ589896 GOF589895:GOF589896 GYB589895:GYB589896 HHX589895:HHX589896 HRT589895:HRT589896 IBP589895:IBP589896 ILL589895:ILL589896 IVH589895:IVH589896 JFD589895:JFD589896 JOZ589895:JOZ589896 JYV589895:JYV589896 KIR589895:KIR589896 KSN589895:KSN589896 LCJ589895:LCJ589896 LMF589895:LMF589896 LWB589895:LWB589896 MFX589895:MFX589896 MPT589895:MPT589896 MZP589895:MZP589896 NJL589895:NJL589896 NTH589895:NTH589896 ODD589895:ODD589896 OMZ589895:OMZ589896 OWV589895:OWV589896 PGR589895:PGR589896 PQN589895:PQN589896 QAJ589895:QAJ589896 QKF589895:QKF589896 QUB589895:QUB589896 RDX589895:RDX589896 RNT589895:RNT589896 RXP589895:RXP589896 SHL589895:SHL589896 SRH589895:SRH589896 TBD589895:TBD589896 TKZ589895:TKZ589896 TUV589895:TUV589896 UER589895:UER589896 UON589895:UON589896 UYJ589895:UYJ589896 VIF589895:VIF589896 VSB589895:VSB589896 WBX589895:WBX589896 WLT589895:WLT589896 WVP589895:WVP589896 H655431:H655432 JD655431:JD655432 SZ655431:SZ655432 ACV655431:ACV655432 AMR655431:AMR655432 AWN655431:AWN655432 BGJ655431:BGJ655432 BQF655431:BQF655432 CAB655431:CAB655432 CJX655431:CJX655432 CTT655431:CTT655432 DDP655431:DDP655432 DNL655431:DNL655432 DXH655431:DXH655432 EHD655431:EHD655432 EQZ655431:EQZ655432 FAV655431:FAV655432 FKR655431:FKR655432 FUN655431:FUN655432 GEJ655431:GEJ655432 GOF655431:GOF655432 GYB655431:GYB655432 HHX655431:HHX655432 HRT655431:HRT655432 IBP655431:IBP655432 ILL655431:ILL655432 IVH655431:IVH655432 JFD655431:JFD655432 JOZ655431:JOZ655432 JYV655431:JYV655432 KIR655431:KIR655432 KSN655431:KSN655432 LCJ655431:LCJ655432 LMF655431:LMF655432 LWB655431:LWB655432 MFX655431:MFX655432 MPT655431:MPT655432 MZP655431:MZP655432 NJL655431:NJL655432 NTH655431:NTH655432 ODD655431:ODD655432 OMZ655431:OMZ655432 OWV655431:OWV655432 PGR655431:PGR655432 PQN655431:PQN655432 QAJ655431:QAJ655432 QKF655431:QKF655432 QUB655431:QUB655432 RDX655431:RDX655432 RNT655431:RNT655432 RXP655431:RXP655432 SHL655431:SHL655432 SRH655431:SRH655432 TBD655431:TBD655432 TKZ655431:TKZ655432 TUV655431:TUV655432 UER655431:UER655432 UON655431:UON655432 UYJ655431:UYJ655432 VIF655431:VIF655432 VSB655431:VSB655432 WBX655431:WBX655432 WLT655431:WLT655432 WVP655431:WVP655432 H720967:H720968 JD720967:JD720968 SZ720967:SZ720968 ACV720967:ACV720968 AMR720967:AMR720968 AWN720967:AWN720968 BGJ720967:BGJ720968 BQF720967:BQF720968 CAB720967:CAB720968 CJX720967:CJX720968 CTT720967:CTT720968 DDP720967:DDP720968 DNL720967:DNL720968 DXH720967:DXH720968 EHD720967:EHD720968 EQZ720967:EQZ720968 FAV720967:FAV720968 FKR720967:FKR720968 FUN720967:FUN720968 GEJ720967:GEJ720968 GOF720967:GOF720968 GYB720967:GYB720968 HHX720967:HHX720968 HRT720967:HRT720968 IBP720967:IBP720968 ILL720967:ILL720968 IVH720967:IVH720968 JFD720967:JFD720968 JOZ720967:JOZ720968 JYV720967:JYV720968 KIR720967:KIR720968 KSN720967:KSN720968 LCJ720967:LCJ720968 LMF720967:LMF720968 LWB720967:LWB720968 MFX720967:MFX720968 MPT720967:MPT720968 MZP720967:MZP720968 NJL720967:NJL720968 NTH720967:NTH720968 ODD720967:ODD720968 OMZ720967:OMZ720968 OWV720967:OWV720968 PGR720967:PGR720968 PQN720967:PQN720968 QAJ720967:QAJ720968 QKF720967:QKF720968 QUB720967:QUB720968 RDX720967:RDX720968 RNT720967:RNT720968 RXP720967:RXP720968 SHL720967:SHL720968 SRH720967:SRH720968 TBD720967:TBD720968 TKZ720967:TKZ720968 TUV720967:TUV720968 UER720967:UER720968 UON720967:UON720968 UYJ720967:UYJ720968 VIF720967:VIF720968 VSB720967:VSB720968 WBX720967:WBX720968 WLT720967:WLT720968 WVP720967:WVP720968 H786503:H786504 JD786503:JD786504 SZ786503:SZ786504 ACV786503:ACV786504 AMR786503:AMR786504 AWN786503:AWN786504 BGJ786503:BGJ786504 BQF786503:BQF786504 CAB786503:CAB786504 CJX786503:CJX786504 CTT786503:CTT786504 DDP786503:DDP786504 DNL786503:DNL786504 DXH786503:DXH786504 EHD786503:EHD786504 EQZ786503:EQZ786504 FAV786503:FAV786504 FKR786503:FKR786504 FUN786503:FUN786504 GEJ786503:GEJ786504 GOF786503:GOF786504 GYB786503:GYB786504 HHX786503:HHX786504 HRT786503:HRT786504 IBP786503:IBP786504 ILL786503:ILL786504 IVH786503:IVH786504 JFD786503:JFD786504 JOZ786503:JOZ786504 JYV786503:JYV786504 KIR786503:KIR786504 KSN786503:KSN786504 LCJ786503:LCJ786504 LMF786503:LMF786504 LWB786503:LWB786504 MFX786503:MFX786504 MPT786503:MPT786504 MZP786503:MZP786504 NJL786503:NJL786504 NTH786503:NTH786504 ODD786503:ODD786504 OMZ786503:OMZ786504 OWV786503:OWV786504 PGR786503:PGR786504 PQN786503:PQN786504 QAJ786503:QAJ786504 QKF786503:QKF786504 QUB786503:QUB786504 RDX786503:RDX786504 RNT786503:RNT786504 RXP786503:RXP786504 SHL786503:SHL786504 SRH786503:SRH786504 TBD786503:TBD786504 TKZ786503:TKZ786504 TUV786503:TUV786504 UER786503:UER786504 UON786503:UON786504 UYJ786503:UYJ786504 VIF786503:VIF786504 VSB786503:VSB786504 WBX786503:WBX786504 WLT786503:WLT786504 WVP786503:WVP786504 H852039:H852040 JD852039:JD852040 SZ852039:SZ852040 ACV852039:ACV852040 AMR852039:AMR852040 AWN852039:AWN852040 BGJ852039:BGJ852040 BQF852039:BQF852040 CAB852039:CAB852040 CJX852039:CJX852040 CTT852039:CTT852040 DDP852039:DDP852040 DNL852039:DNL852040 DXH852039:DXH852040 EHD852039:EHD852040 EQZ852039:EQZ852040 FAV852039:FAV852040 FKR852039:FKR852040 FUN852039:FUN852040 GEJ852039:GEJ852040 GOF852039:GOF852040 GYB852039:GYB852040 HHX852039:HHX852040 HRT852039:HRT852040 IBP852039:IBP852040 ILL852039:ILL852040 IVH852039:IVH852040 JFD852039:JFD852040 JOZ852039:JOZ852040 JYV852039:JYV852040 KIR852039:KIR852040 KSN852039:KSN852040 LCJ852039:LCJ852040 LMF852039:LMF852040 LWB852039:LWB852040 MFX852039:MFX852040 MPT852039:MPT852040 MZP852039:MZP852040 NJL852039:NJL852040 NTH852039:NTH852040 ODD852039:ODD852040 OMZ852039:OMZ852040 OWV852039:OWV852040 PGR852039:PGR852040 PQN852039:PQN852040 QAJ852039:QAJ852040 QKF852039:QKF852040 QUB852039:QUB852040 RDX852039:RDX852040 RNT852039:RNT852040 RXP852039:RXP852040 SHL852039:SHL852040 SRH852039:SRH852040 TBD852039:TBD852040 TKZ852039:TKZ852040 TUV852039:TUV852040 UER852039:UER852040 UON852039:UON852040 UYJ852039:UYJ852040 VIF852039:VIF852040 VSB852039:VSB852040 WBX852039:WBX852040 WLT852039:WLT852040 WVP852039:WVP852040 H917575:H917576 JD917575:JD917576 SZ917575:SZ917576 ACV917575:ACV917576 AMR917575:AMR917576 AWN917575:AWN917576 BGJ917575:BGJ917576 BQF917575:BQF917576 CAB917575:CAB917576 CJX917575:CJX917576 CTT917575:CTT917576 DDP917575:DDP917576 DNL917575:DNL917576 DXH917575:DXH917576 EHD917575:EHD917576 EQZ917575:EQZ917576 FAV917575:FAV917576 FKR917575:FKR917576 FUN917575:FUN917576 GEJ917575:GEJ917576 GOF917575:GOF917576 GYB917575:GYB917576 HHX917575:HHX917576 HRT917575:HRT917576 IBP917575:IBP917576 ILL917575:ILL917576 IVH917575:IVH917576 JFD917575:JFD917576 JOZ917575:JOZ917576 JYV917575:JYV917576 KIR917575:KIR917576 KSN917575:KSN917576 LCJ917575:LCJ917576 LMF917575:LMF917576 LWB917575:LWB917576 MFX917575:MFX917576 MPT917575:MPT917576 MZP917575:MZP917576 NJL917575:NJL917576 NTH917575:NTH917576 ODD917575:ODD917576 OMZ917575:OMZ917576 OWV917575:OWV917576 PGR917575:PGR917576 PQN917575:PQN917576 QAJ917575:QAJ917576 QKF917575:QKF917576 QUB917575:QUB917576 RDX917575:RDX917576 RNT917575:RNT917576 RXP917575:RXP917576 SHL917575:SHL917576 SRH917575:SRH917576 TBD917575:TBD917576 TKZ917575:TKZ917576 TUV917575:TUV917576 UER917575:UER917576 UON917575:UON917576 UYJ917575:UYJ917576 VIF917575:VIF917576 VSB917575:VSB917576 WBX917575:WBX917576 WLT917575:WLT917576 WVP917575:WVP917576 H983111:H983112 JD983111:JD983112 SZ983111:SZ983112 ACV983111:ACV983112 AMR983111:AMR983112 AWN983111:AWN983112 BGJ983111:BGJ983112 BQF983111:BQF983112 CAB983111:CAB983112 CJX983111:CJX983112 CTT983111:CTT983112 DDP983111:DDP983112 DNL983111:DNL983112 DXH983111:DXH983112 EHD983111:EHD983112 EQZ983111:EQZ983112 FAV983111:FAV983112 FKR983111:FKR983112 FUN983111:FUN983112 GEJ983111:GEJ983112 GOF983111:GOF983112 GYB983111:GYB983112 HHX983111:HHX983112 HRT983111:HRT983112 IBP983111:IBP983112 ILL983111:ILL983112 IVH983111:IVH983112 JFD983111:JFD983112 JOZ983111:JOZ983112 JYV983111:JYV983112 KIR983111:KIR983112 KSN983111:KSN983112 LCJ983111:LCJ983112 LMF983111:LMF983112 LWB983111:LWB983112 MFX983111:MFX983112 MPT983111:MPT983112 MZP983111:MZP983112 NJL983111:NJL983112 NTH983111:NTH983112 ODD983111:ODD983112 OMZ983111:OMZ983112 OWV983111:OWV983112 PGR983111:PGR983112 PQN983111:PQN983112 QAJ983111:QAJ983112 QKF983111:QKF983112 QUB983111:QUB983112 RDX983111:RDX983112 RNT983111:RNT983112 RXP983111:RXP983112 SHL983111:SHL983112 SRH983111:SRH983112 TBD983111:TBD983112 TKZ983111:TKZ983112 TUV983111:TUV983112 UER983111:UER983112 UON983111:UON983112 UYJ983111:UYJ983112 VIF983111:VIF983112 VSB983111:VSB983112 WBX983111:WBX983112 WLT983111:WLT983112 WVP983111:WVP983112 JB105:JB106 SX105:SX106 ACT105:ACT106 AMP105:AMP106 AWL105:AWL106 BGH105:BGH106 BQD105:BQD106 BZZ105:BZZ106 CJV105:CJV106 CTR105:CTR106 DDN105:DDN106 DNJ105:DNJ106 DXF105:DXF106 EHB105:EHB106 EQX105:EQX106 FAT105:FAT106 FKP105:FKP106 FUL105:FUL106 GEH105:GEH106 GOD105:GOD106 GXZ105:GXZ106 HHV105:HHV106 HRR105:HRR106 IBN105:IBN106 ILJ105:ILJ106 IVF105:IVF106 JFB105:JFB106 JOX105:JOX106 JYT105:JYT106 KIP105:KIP106 KSL105:KSL106 LCH105:LCH106 LMD105:LMD106 LVZ105:LVZ106 MFV105:MFV106 MPR105:MPR106 MZN105:MZN106 NJJ105:NJJ106 NTF105:NTF106 ODB105:ODB106 OMX105:OMX106 OWT105:OWT106 PGP105:PGP106 PQL105:PQL106 QAH105:QAH106 QKD105:QKD106 QTZ105:QTZ106 RDV105:RDV106 RNR105:RNR106 RXN105:RXN106 SHJ105:SHJ106 SRF105:SRF106 TBB105:TBB106 TKX105:TKX106 TUT105:TUT106 UEP105:UEP106 UOL105:UOL106 UYH105:UYH106 VID105:VID106 VRZ105:VRZ106 WBV105:WBV106 WLR105:WLR106 WVN105:WVN106 F65640:F65642 JB65640:JB65642 SX65640:SX65642 ACT65640:ACT65642 AMP65640:AMP65642 AWL65640:AWL65642 BGH65640:BGH65642 BQD65640:BQD65642 BZZ65640:BZZ65642 CJV65640:CJV65642 CTR65640:CTR65642 DDN65640:DDN65642 DNJ65640:DNJ65642 DXF65640:DXF65642 EHB65640:EHB65642 EQX65640:EQX65642 FAT65640:FAT65642 FKP65640:FKP65642 FUL65640:FUL65642 GEH65640:GEH65642 GOD65640:GOD65642 GXZ65640:GXZ65642 HHV65640:HHV65642 HRR65640:HRR65642 IBN65640:IBN65642 ILJ65640:ILJ65642 IVF65640:IVF65642 JFB65640:JFB65642 JOX65640:JOX65642 JYT65640:JYT65642 KIP65640:KIP65642 KSL65640:KSL65642 LCH65640:LCH65642 LMD65640:LMD65642 LVZ65640:LVZ65642 MFV65640:MFV65642 MPR65640:MPR65642 MZN65640:MZN65642 NJJ65640:NJJ65642 NTF65640:NTF65642 ODB65640:ODB65642 OMX65640:OMX65642 OWT65640:OWT65642 PGP65640:PGP65642 PQL65640:PQL65642 QAH65640:QAH65642 QKD65640:QKD65642 QTZ65640:QTZ65642 RDV65640:RDV65642 RNR65640:RNR65642 RXN65640:RXN65642 SHJ65640:SHJ65642 SRF65640:SRF65642 TBB65640:TBB65642 TKX65640:TKX65642 TUT65640:TUT65642 UEP65640:UEP65642 UOL65640:UOL65642 UYH65640:UYH65642 VID65640:VID65642 VRZ65640:VRZ65642 WBV65640:WBV65642 WLR65640:WLR65642 WVN65640:WVN65642 F131176:F131178 JB131176:JB131178 SX131176:SX131178 ACT131176:ACT131178 AMP131176:AMP131178 AWL131176:AWL131178 BGH131176:BGH131178 BQD131176:BQD131178 BZZ131176:BZZ131178 CJV131176:CJV131178 CTR131176:CTR131178 DDN131176:DDN131178 DNJ131176:DNJ131178 DXF131176:DXF131178 EHB131176:EHB131178 EQX131176:EQX131178 FAT131176:FAT131178 FKP131176:FKP131178 FUL131176:FUL131178 GEH131176:GEH131178 GOD131176:GOD131178 GXZ131176:GXZ131178 HHV131176:HHV131178 HRR131176:HRR131178 IBN131176:IBN131178 ILJ131176:ILJ131178 IVF131176:IVF131178 JFB131176:JFB131178 JOX131176:JOX131178 JYT131176:JYT131178 KIP131176:KIP131178 KSL131176:KSL131178 LCH131176:LCH131178 LMD131176:LMD131178 LVZ131176:LVZ131178 MFV131176:MFV131178 MPR131176:MPR131178 MZN131176:MZN131178 NJJ131176:NJJ131178 NTF131176:NTF131178 ODB131176:ODB131178 OMX131176:OMX131178 OWT131176:OWT131178 PGP131176:PGP131178 PQL131176:PQL131178 QAH131176:QAH131178 QKD131176:QKD131178 QTZ131176:QTZ131178 RDV131176:RDV131178 RNR131176:RNR131178 RXN131176:RXN131178 SHJ131176:SHJ131178 SRF131176:SRF131178 TBB131176:TBB131178 TKX131176:TKX131178 TUT131176:TUT131178 UEP131176:UEP131178 UOL131176:UOL131178 UYH131176:UYH131178 VID131176:VID131178 VRZ131176:VRZ131178 WBV131176:WBV131178 WLR131176:WLR131178 WVN131176:WVN131178 F196712:F196714 JB196712:JB196714 SX196712:SX196714 ACT196712:ACT196714 AMP196712:AMP196714 AWL196712:AWL196714 BGH196712:BGH196714 BQD196712:BQD196714 BZZ196712:BZZ196714 CJV196712:CJV196714 CTR196712:CTR196714 DDN196712:DDN196714 DNJ196712:DNJ196714 DXF196712:DXF196714 EHB196712:EHB196714 EQX196712:EQX196714 FAT196712:FAT196714 FKP196712:FKP196714 FUL196712:FUL196714 GEH196712:GEH196714 GOD196712:GOD196714 GXZ196712:GXZ196714 HHV196712:HHV196714 HRR196712:HRR196714 IBN196712:IBN196714 ILJ196712:ILJ196714 IVF196712:IVF196714 JFB196712:JFB196714 JOX196712:JOX196714 JYT196712:JYT196714 KIP196712:KIP196714 KSL196712:KSL196714 LCH196712:LCH196714 LMD196712:LMD196714 LVZ196712:LVZ196714 MFV196712:MFV196714 MPR196712:MPR196714 MZN196712:MZN196714 NJJ196712:NJJ196714 NTF196712:NTF196714 ODB196712:ODB196714 OMX196712:OMX196714 OWT196712:OWT196714 PGP196712:PGP196714 PQL196712:PQL196714 QAH196712:QAH196714 QKD196712:QKD196714 QTZ196712:QTZ196714 RDV196712:RDV196714 RNR196712:RNR196714 RXN196712:RXN196714 SHJ196712:SHJ196714 SRF196712:SRF196714 TBB196712:TBB196714 TKX196712:TKX196714 TUT196712:TUT196714 UEP196712:UEP196714 UOL196712:UOL196714 UYH196712:UYH196714 VID196712:VID196714 VRZ196712:VRZ196714 WBV196712:WBV196714 WLR196712:WLR196714 WVN196712:WVN196714 F262248:F262250 JB262248:JB262250 SX262248:SX262250 ACT262248:ACT262250 AMP262248:AMP262250 AWL262248:AWL262250 BGH262248:BGH262250 BQD262248:BQD262250 BZZ262248:BZZ262250 CJV262248:CJV262250 CTR262248:CTR262250 DDN262248:DDN262250 DNJ262248:DNJ262250 DXF262248:DXF262250 EHB262248:EHB262250 EQX262248:EQX262250 FAT262248:FAT262250 FKP262248:FKP262250 FUL262248:FUL262250 GEH262248:GEH262250 GOD262248:GOD262250 GXZ262248:GXZ262250 HHV262248:HHV262250 HRR262248:HRR262250 IBN262248:IBN262250 ILJ262248:ILJ262250 IVF262248:IVF262250 JFB262248:JFB262250 JOX262248:JOX262250 JYT262248:JYT262250 KIP262248:KIP262250 KSL262248:KSL262250 LCH262248:LCH262250 LMD262248:LMD262250 LVZ262248:LVZ262250 MFV262248:MFV262250 MPR262248:MPR262250 MZN262248:MZN262250 NJJ262248:NJJ262250 NTF262248:NTF262250 ODB262248:ODB262250 OMX262248:OMX262250 OWT262248:OWT262250 PGP262248:PGP262250 PQL262248:PQL262250 QAH262248:QAH262250 QKD262248:QKD262250 QTZ262248:QTZ262250 RDV262248:RDV262250 RNR262248:RNR262250 RXN262248:RXN262250 SHJ262248:SHJ262250 SRF262248:SRF262250 TBB262248:TBB262250 TKX262248:TKX262250 TUT262248:TUT262250 UEP262248:UEP262250 UOL262248:UOL262250 UYH262248:UYH262250 VID262248:VID262250 VRZ262248:VRZ262250 WBV262248:WBV262250 WLR262248:WLR262250 WVN262248:WVN262250 F327784:F327786 JB327784:JB327786 SX327784:SX327786 ACT327784:ACT327786 AMP327784:AMP327786 AWL327784:AWL327786 BGH327784:BGH327786 BQD327784:BQD327786 BZZ327784:BZZ327786 CJV327784:CJV327786 CTR327784:CTR327786 DDN327784:DDN327786 DNJ327784:DNJ327786 DXF327784:DXF327786 EHB327784:EHB327786 EQX327784:EQX327786 FAT327784:FAT327786 FKP327784:FKP327786 FUL327784:FUL327786 GEH327784:GEH327786 GOD327784:GOD327786 GXZ327784:GXZ327786 HHV327784:HHV327786 HRR327784:HRR327786 IBN327784:IBN327786 ILJ327784:ILJ327786 IVF327784:IVF327786 JFB327784:JFB327786 JOX327784:JOX327786 JYT327784:JYT327786 KIP327784:KIP327786 KSL327784:KSL327786 LCH327784:LCH327786 LMD327784:LMD327786 LVZ327784:LVZ327786 MFV327784:MFV327786 MPR327784:MPR327786 MZN327784:MZN327786 NJJ327784:NJJ327786 NTF327784:NTF327786 ODB327784:ODB327786 OMX327784:OMX327786 OWT327784:OWT327786 PGP327784:PGP327786 PQL327784:PQL327786 QAH327784:QAH327786 QKD327784:QKD327786 QTZ327784:QTZ327786 RDV327784:RDV327786 RNR327784:RNR327786 RXN327784:RXN327786 SHJ327784:SHJ327786 SRF327784:SRF327786 TBB327784:TBB327786 TKX327784:TKX327786 TUT327784:TUT327786 UEP327784:UEP327786 UOL327784:UOL327786 UYH327784:UYH327786 VID327784:VID327786 VRZ327784:VRZ327786 WBV327784:WBV327786 WLR327784:WLR327786 WVN327784:WVN327786 F393320:F393322 JB393320:JB393322 SX393320:SX393322 ACT393320:ACT393322 AMP393320:AMP393322 AWL393320:AWL393322 BGH393320:BGH393322 BQD393320:BQD393322 BZZ393320:BZZ393322 CJV393320:CJV393322 CTR393320:CTR393322 DDN393320:DDN393322 DNJ393320:DNJ393322 DXF393320:DXF393322 EHB393320:EHB393322 EQX393320:EQX393322 FAT393320:FAT393322 FKP393320:FKP393322 FUL393320:FUL393322 GEH393320:GEH393322 GOD393320:GOD393322 GXZ393320:GXZ393322 HHV393320:HHV393322 HRR393320:HRR393322 IBN393320:IBN393322 ILJ393320:ILJ393322 IVF393320:IVF393322 JFB393320:JFB393322 JOX393320:JOX393322 JYT393320:JYT393322 KIP393320:KIP393322 KSL393320:KSL393322 LCH393320:LCH393322 LMD393320:LMD393322 LVZ393320:LVZ393322 MFV393320:MFV393322 MPR393320:MPR393322 MZN393320:MZN393322 NJJ393320:NJJ393322 NTF393320:NTF393322 ODB393320:ODB393322 OMX393320:OMX393322 OWT393320:OWT393322 PGP393320:PGP393322 PQL393320:PQL393322 QAH393320:QAH393322 QKD393320:QKD393322 QTZ393320:QTZ393322 RDV393320:RDV393322 RNR393320:RNR393322 RXN393320:RXN393322 SHJ393320:SHJ393322 SRF393320:SRF393322 TBB393320:TBB393322 TKX393320:TKX393322 TUT393320:TUT393322 UEP393320:UEP393322 UOL393320:UOL393322 UYH393320:UYH393322 VID393320:VID393322 VRZ393320:VRZ393322 WBV393320:WBV393322 WLR393320:WLR393322 WVN393320:WVN393322 F458856:F458858 JB458856:JB458858 SX458856:SX458858 ACT458856:ACT458858 AMP458856:AMP458858 AWL458856:AWL458858 BGH458856:BGH458858 BQD458856:BQD458858 BZZ458856:BZZ458858 CJV458856:CJV458858 CTR458856:CTR458858 DDN458856:DDN458858 DNJ458856:DNJ458858 DXF458856:DXF458858 EHB458856:EHB458858 EQX458856:EQX458858 FAT458856:FAT458858 FKP458856:FKP458858 FUL458856:FUL458858 GEH458856:GEH458858 GOD458856:GOD458858 GXZ458856:GXZ458858 HHV458856:HHV458858 HRR458856:HRR458858 IBN458856:IBN458858 ILJ458856:ILJ458858 IVF458856:IVF458858 JFB458856:JFB458858 JOX458856:JOX458858 JYT458856:JYT458858 KIP458856:KIP458858 KSL458856:KSL458858 LCH458856:LCH458858 LMD458856:LMD458858 LVZ458856:LVZ458858 MFV458856:MFV458858 MPR458856:MPR458858 MZN458856:MZN458858 NJJ458856:NJJ458858 NTF458856:NTF458858 ODB458856:ODB458858 OMX458856:OMX458858 OWT458856:OWT458858 PGP458856:PGP458858 PQL458856:PQL458858 QAH458856:QAH458858 QKD458856:QKD458858 QTZ458856:QTZ458858 RDV458856:RDV458858 RNR458856:RNR458858 RXN458856:RXN458858 SHJ458856:SHJ458858 SRF458856:SRF458858 TBB458856:TBB458858 TKX458856:TKX458858 TUT458856:TUT458858 UEP458856:UEP458858 UOL458856:UOL458858 UYH458856:UYH458858 VID458856:VID458858 VRZ458856:VRZ458858 WBV458856:WBV458858 WLR458856:WLR458858 WVN458856:WVN458858 F524392:F524394 JB524392:JB524394 SX524392:SX524394 ACT524392:ACT524394 AMP524392:AMP524394 AWL524392:AWL524394 BGH524392:BGH524394 BQD524392:BQD524394 BZZ524392:BZZ524394 CJV524392:CJV524394 CTR524392:CTR524394 DDN524392:DDN524394 DNJ524392:DNJ524394 DXF524392:DXF524394 EHB524392:EHB524394 EQX524392:EQX524394 FAT524392:FAT524394 FKP524392:FKP524394 FUL524392:FUL524394 GEH524392:GEH524394 GOD524392:GOD524394 GXZ524392:GXZ524394 HHV524392:HHV524394 HRR524392:HRR524394 IBN524392:IBN524394 ILJ524392:ILJ524394 IVF524392:IVF524394 JFB524392:JFB524394 JOX524392:JOX524394 JYT524392:JYT524394 KIP524392:KIP524394 KSL524392:KSL524394 LCH524392:LCH524394 LMD524392:LMD524394 LVZ524392:LVZ524394 MFV524392:MFV524394 MPR524392:MPR524394 MZN524392:MZN524394 NJJ524392:NJJ524394 NTF524392:NTF524394 ODB524392:ODB524394 OMX524392:OMX524394 OWT524392:OWT524394 PGP524392:PGP524394 PQL524392:PQL524394 QAH524392:QAH524394 QKD524392:QKD524394 QTZ524392:QTZ524394 RDV524392:RDV524394 RNR524392:RNR524394 RXN524392:RXN524394 SHJ524392:SHJ524394 SRF524392:SRF524394 TBB524392:TBB524394 TKX524392:TKX524394 TUT524392:TUT524394 UEP524392:UEP524394 UOL524392:UOL524394 UYH524392:UYH524394 VID524392:VID524394 VRZ524392:VRZ524394 WBV524392:WBV524394 WLR524392:WLR524394 WVN524392:WVN524394 F589928:F589930 JB589928:JB589930 SX589928:SX589930 ACT589928:ACT589930 AMP589928:AMP589930 AWL589928:AWL589930 BGH589928:BGH589930 BQD589928:BQD589930 BZZ589928:BZZ589930 CJV589928:CJV589930 CTR589928:CTR589930 DDN589928:DDN589930 DNJ589928:DNJ589930 DXF589928:DXF589930 EHB589928:EHB589930 EQX589928:EQX589930 FAT589928:FAT589930 FKP589928:FKP589930 FUL589928:FUL589930 GEH589928:GEH589930 GOD589928:GOD589930 GXZ589928:GXZ589930 HHV589928:HHV589930 HRR589928:HRR589930 IBN589928:IBN589930 ILJ589928:ILJ589930 IVF589928:IVF589930 JFB589928:JFB589930 JOX589928:JOX589930 JYT589928:JYT589930 KIP589928:KIP589930 KSL589928:KSL589930 LCH589928:LCH589930 LMD589928:LMD589930 LVZ589928:LVZ589930 MFV589928:MFV589930 MPR589928:MPR589930 MZN589928:MZN589930 NJJ589928:NJJ589930 NTF589928:NTF589930 ODB589928:ODB589930 OMX589928:OMX589930 OWT589928:OWT589930 PGP589928:PGP589930 PQL589928:PQL589930 QAH589928:QAH589930 QKD589928:QKD589930 QTZ589928:QTZ589930 RDV589928:RDV589930 RNR589928:RNR589930 RXN589928:RXN589930 SHJ589928:SHJ589930 SRF589928:SRF589930 TBB589928:TBB589930 TKX589928:TKX589930 TUT589928:TUT589930 UEP589928:UEP589930 UOL589928:UOL589930 UYH589928:UYH589930 VID589928:VID589930 VRZ589928:VRZ589930 WBV589928:WBV589930 WLR589928:WLR589930 WVN589928:WVN589930 F655464:F655466 JB655464:JB655466 SX655464:SX655466 ACT655464:ACT655466 AMP655464:AMP655466 AWL655464:AWL655466 BGH655464:BGH655466 BQD655464:BQD655466 BZZ655464:BZZ655466 CJV655464:CJV655466 CTR655464:CTR655466 DDN655464:DDN655466 DNJ655464:DNJ655466 DXF655464:DXF655466 EHB655464:EHB655466 EQX655464:EQX655466 FAT655464:FAT655466 FKP655464:FKP655466 FUL655464:FUL655466 GEH655464:GEH655466 GOD655464:GOD655466 GXZ655464:GXZ655466 HHV655464:HHV655466 HRR655464:HRR655466 IBN655464:IBN655466 ILJ655464:ILJ655466 IVF655464:IVF655466 JFB655464:JFB655466 JOX655464:JOX655466 JYT655464:JYT655466 KIP655464:KIP655466 KSL655464:KSL655466 LCH655464:LCH655466 LMD655464:LMD655466 LVZ655464:LVZ655466 MFV655464:MFV655466 MPR655464:MPR655466 MZN655464:MZN655466 NJJ655464:NJJ655466 NTF655464:NTF655466 ODB655464:ODB655466 OMX655464:OMX655466 OWT655464:OWT655466 PGP655464:PGP655466 PQL655464:PQL655466 QAH655464:QAH655466 QKD655464:QKD655466 QTZ655464:QTZ655466 RDV655464:RDV655466 RNR655464:RNR655466 RXN655464:RXN655466 SHJ655464:SHJ655466 SRF655464:SRF655466 TBB655464:TBB655466 TKX655464:TKX655466 TUT655464:TUT655466 UEP655464:UEP655466 UOL655464:UOL655466 UYH655464:UYH655466 VID655464:VID655466 VRZ655464:VRZ655466 WBV655464:WBV655466 WLR655464:WLR655466 WVN655464:WVN655466 F721000:F721002 JB721000:JB721002 SX721000:SX721002 ACT721000:ACT721002 AMP721000:AMP721002 AWL721000:AWL721002 BGH721000:BGH721002 BQD721000:BQD721002 BZZ721000:BZZ721002 CJV721000:CJV721002 CTR721000:CTR721002 DDN721000:DDN721002 DNJ721000:DNJ721002 DXF721000:DXF721002 EHB721000:EHB721002 EQX721000:EQX721002 FAT721000:FAT721002 FKP721000:FKP721002 FUL721000:FUL721002 GEH721000:GEH721002 GOD721000:GOD721002 GXZ721000:GXZ721002 HHV721000:HHV721002 HRR721000:HRR721002 IBN721000:IBN721002 ILJ721000:ILJ721002 IVF721000:IVF721002 JFB721000:JFB721002 JOX721000:JOX721002 JYT721000:JYT721002 KIP721000:KIP721002 KSL721000:KSL721002 LCH721000:LCH721002 LMD721000:LMD721002 LVZ721000:LVZ721002 MFV721000:MFV721002 MPR721000:MPR721002 MZN721000:MZN721002 NJJ721000:NJJ721002 NTF721000:NTF721002 ODB721000:ODB721002 OMX721000:OMX721002 OWT721000:OWT721002 PGP721000:PGP721002 PQL721000:PQL721002 QAH721000:QAH721002 QKD721000:QKD721002 QTZ721000:QTZ721002 RDV721000:RDV721002 RNR721000:RNR721002 RXN721000:RXN721002 SHJ721000:SHJ721002 SRF721000:SRF721002 TBB721000:TBB721002 TKX721000:TKX721002 TUT721000:TUT721002 UEP721000:UEP721002 UOL721000:UOL721002 UYH721000:UYH721002 VID721000:VID721002 VRZ721000:VRZ721002 WBV721000:WBV721002 WLR721000:WLR721002 WVN721000:WVN721002 F786536:F786538 JB786536:JB786538 SX786536:SX786538 ACT786536:ACT786538 AMP786536:AMP786538 AWL786536:AWL786538 BGH786536:BGH786538 BQD786536:BQD786538 BZZ786536:BZZ786538 CJV786536:CJV786538 CTR786536:CTR786538 DDN786536:DDN786538 DNJ786536:DNJ786538 DXF786536:DXF786538 EHB786536:EHB786538 EQX786536:EQX786538 FAT786536:FAT786538 FKP786536:FKP786538 FUL786536:FUL786538 GEH786536:GEH786538 GOD786536:GOD786538 GXZ786536:GXZ786538 HHV786536:HHV786538 HRR786536:HRR786538 IBN786536:IBN786538 ILJ786536:ILJ786538 IVF786536:IVF786538 JFB786536:JFB786538 JOX786536:JOX786538 JYT786536:JYT786538 KIP786536:KIP786538 KSL786536:KSL786538 LCH786536:LCH786538 LMD786536:LMD786538 LVZ786536:LVZ786538 MFV786536:MFV786538 MPR786536:MPR786538 MZN786536:MZN786538 NJJ786536:NJJ786538 NTF786536:NTF786538 ODB786536:ODB786538 OMX786536:OMX786538 OWT786536:OWT786538 PGP786536:PGP786538 PQL786536:PQL786538 QAH786536:QAH786538 QKD786536:QKD786538 QTZ786536:QTZ786538 RDV786536:RDV786538 RNR786536:RNR786538 RXN786536:RXN786538 SHJ786536:SHJ786538 SRF786536:SRF786538 TBB786536:TBB786538 TKX786536:TKX786538 TUT786536:TUT786538 UEP786536:UEP786538 UOL786536:UOL786538 UYH786536:UYH786538 VID786536:VID786538 VRZ786536:VRZ786538 WBV786536:WBV786538 WLR786536:WLR786538 WVN786536:WVN786538 F852072:F852074 JB852072:JB852074 SX852072:SX852074 ACT852072:ACT852074 AMP852072:AMP852074 AWL852072:AWL852074 BGH852072:BGH852074 BQD852072:BQD852074 BZZ852072:BZZ852074 CJV852072:CJV852074 CTR852072:CTR852074 DDN852072:DDN852074 DNJ852072:DNJ852074 DXF852072:DXF852074 EHB852072:EHB852074 EQX852072:EQX852074 FAT852072:FAT852074 FKP852072:FKP852074 FUL852072:FUL852074 GEH852072:GEH852074 GOD852072:GOD852074 GXZ852072:GXZ852074 HHV852072:HHV852074 HRR852072:HRR852074 IBN852072:IBN852074 ILJ852072:ILJ852074 IVF852072:IVF852074 JFB852072:JFB852074 JOX852072:JOX852074 JYT852072:JYT852074 KIP852072:KIP852074 KSL852072:KSL852074 LCH852072:LCH852074 LMD852072:LMD852074 LVZ852072:LVZ852074 MFV852072:MFV852074 MPR852072:MPR852074 MZN852072:MZN852074 NJJ852072:NJJ852074 NTF852072:NTF852074 ODB852072:ODB852074 OMX852072:OMX852074 OWT852072:OWT852074 PGP852072:PGP852074 PQL852072:PQL852074 QAH852072:QAH852074 QKD852072:QKD852074 QTZ852072:QTZ852074 RDV852072:RDV852074 RNR852072:RNR852074 RXN852072:RXN852074 SHJ852072:SHJ852074 SRF852072:SRF852074 TBB852072:TBB852074 TKX852072:TKX852074 TUT852072:TUT852074 UEP852072:UEP852074 UOL852072:UOL852074 UYH852072:UYH852074 VID852072:VID852074 VRZ852072:VRZ852074 WBV852072:WBV852074 WLR852072:WLR852074 WVN852072:WVN852074 F917608:F917610 JB917608:JB917610 SX917608:SX917610 ACT917608:ACT917610 AMP917608:AMP917610 AWL917608:AWL917610 BGH917608:BGH917610 BQD917608:BQD917610 BZZ917608:BZZ917610 CJV917608:CJV917610 CTR917608:CTR917610 DDN917608:DDN917610 DNJ917608:DNJ917610 DXF917608:DXF917610 EHB917608:EHB917610 EQX917608:EQX917610 FAT917608:FAT917610 FKP917608:FKP917610 FUL917608:FUL917610 GEH917608:GEH917610 GOD917608:GOD917610 GXZ917608:GXZ917610 HHV917608:HHV917610 HRR917608:HRR917610 IBN917608:IBN917610 ILJ917608:ILJ917610 IVF917608:IVF917610 JFB917608:JFB917610 JOX917608:JOX917610 JYT917608:JYT917610 KIP917608:KIP917610 KSL917608:KSL917610 LCH917608:LCH917610 LMD917608:LMD917610 LVZ917608:LVZ917610 MFV917608:MFV917610 MPR917608:MPR917610 MZN917608:MZN917610 NJJ917608:NJJ917610 NTF917608:NTF917610 ODB917608:ODB917610 OMX917608:OMX917610 OWT917608:OWT917610 PGP917608:PGP917610 PQL917608:PQL917610 QAH917608:QAH917610 QKD917608:QKD917610 QTZ917608:QTZ917610 RDV917608:RDV917610 RNR917608:RNR917610 RXN917608:RXN917610 SHJ917608:SHJ917610 SRF917608:SRF917610 TBB917608:TBB917610 TKX917608:TKX917610 TUT917608:TUT917610 UEP917608:UEP917610 UOL917608:UOL917610 UYH917608:UYH917610 VID917608:VID917610 VRZ917608:VRZ917610 WBV917608:WBV917610 WLR917608:WLR917610 WVN917608:WVN917610 F983144:F983146 JB983144:JB983146 SX983144:SX983146 ACT983144:ACT983146 AMP983144:AMP983146 AWL983144:AWL983146 BGH983144:BGH983146 BQD983144:BQD983146 BZZ983144:BZZ983146 CJV983144:CJV983146 CTR983144:CTR983146 DDN983144:DDN983146 DNJ983144:DNJ983146 DXF983144:DXF983146 EHB983144:EHB983146 EQX983144:EQX983146 FAT983144:FAT983146 FKP983144:FKP983146 FUL983144:FUL983146 GEH983144:GEH983146 GOD983144:GOD983146 GXZ983144:GXZ983146 HHV983144:HHV983146 HRR983144:HRR983146 IBN983144:IBN983146 ILJ983144:ILJ983146 IVF983144:IVF983146 JFB983144:JFB983146 JOX983144:JOX983146 JYT983144:JYT983146 KIP983144:KIP983146 KSL983144:KSL983146 LCH983144:LCH983146 LMD983144:LMD983146 LVZ983144:LVZ983146 MFV983144:MFV983146 MPR983144:MPR983146 MZN983144:MZN983146 NJJ983144:NJJ983146 NTF983144:NTF983146 ODB983144:ODB983146 OMX983144:OMX983146 OWT983144:OWT983146 PGP983144:PGP983146 PQL983144:PQL983146 QAH983144:QAH983146 QKD983144:QKD983146 QTZ983144:QTZ983146 RDV983144:RDV983146 RNR983144:RNR983146 RXN983144:RXN983146 SHJ983144:SHJ983146 SRF983144:SRF983146 TBB983144:TBB983146 TKX983144:TKX983146 TUT983144:TUT983146 UEP983144:UEP983146 UOL983144:UOL983146 UYH983144:UYH983146 VID983144:VID983146 VRZ983144:VRZ983146 WBV983144:WBV983146 WLR983144:WLR983146 WVN983144:WVN983146 CAI71:CAI77 JK68:JK69 TG68:TG69 ADC68:ADC69 AMY68:AMY69 AWU68:AWU69 BGQ68:BGQ69 BQM68:BQM69 CAI68:CAI69 CKE68:CKE69 CUA68:CUA69 DDW68:DDW69 DNS68:DNS69 DXO68:DXO69 EHK68:EHK69 ERG68:ERG69 FBC68:FBC69 FKY68:FKY69 FUU68:FUU69 GEQ68:GEQ69 GOM68:GOM69 GYI68:GYI69 HIE68:HIE69 HSA68:HSA69 IBW68:IBW69 ILS68:ILS69 IVO68:IVO69 JFK68:JFK69 JPG68:JPG69 JZC68:JZC69 KIY68:KIY69 KSU68:KSU69 LCQ68:LCQ69 LMM68:LMM69 LWI68:LWI69 MGE68:MGE69 MQA68:MQA69 MZW68:MZW69 NJS68:NJS69 NTO68:NTO69 ODK68:ODK69 ONG68:ONG69 OXC68:OXC69 PGY68:PGY69 PQU68:PQU69 QAQ68:QAQ69 QKM68:QKM69 QUI68:QUI69 REE68:REE69 ROA68:ROA69 RXW68:RXW69 SHS68:SHS69 SRO68:SRO69 TBK68:TBK69 TLG68:TLG69 TVC68:TVC69 UEY68:UEY69 UOU68:UOU69 UYQ68:UYQ69 VIM68:VIM69 VSI68:VSI69 WCE68:WCE69 WMA68:WMA69 WVW68:WVW69 O65607:O65608 JK65607:JK65608 TG65607:TG65608 ADC65607:ADC65608 AMY65607:AMY65608 AWU65607:AWU65608 BGQ65607:BGQ65608 BQM65607:BQM65608 CAI65607:CAI65608 CKE65607:CKE65608 CUA65607:CUA65608 DDW65607:DDW65608 DNS65607:DNS65608 DXO65607:DXO65608 EHK65607:EHK65608 ERG65607:ERG65608 FBC65607:FBC65608 FKY65607:FKY65608 FUU65607:FUU65608 GEQ65607:GEQ65608 GOM65607:GOM65608 GYI65607:GYI65608 HIE65607:HIE65608 HSA65607:HSA65608 IBW65607:IBW65608 ILS65607:ILS65608 IVO65607:IVO65608 JFK65607:JFK65608 JPG65607:JPG65608 JZC65607:JZC65608 KIY65607:KIY65608 KSU65607:KSU65608 LCQ65607:LCQ65608 LMM65607:LMM65608 LWI65607:LWI65608 MGE65607:MGE65608 MQA65607:MQA65608 MZW65607:MZW65608 NJS65607:NJS65608 NTO65607:NTO65608 ODK65607:ODK65608 ONG65607:ONG65608 OXC65607:OXC65608 PGY65607:PGY65608 PQU65607:PQU65608 QAQ65607:QAQ65608 QKM65607:QKM65608 QUI65607:QUI65608 REE65607:REE65608 ROA65607:ROA65608 RXW65607:RXW65608 SHS65607:SHS65608 SRO65607:SRO65608 TBK65607:TBK65608 TLG65607:TLG65608 TVC65607:TVC65608 UEY65607:UEY65608 UOU65607:UOU65608 UYQ65607:UYQ65608 VIM65607:VIM65608 VSI65607:VSI65608 WCE65607:WCE65608 WMA65607:WMA65608 WVW65607:WVW65608 O131143:O131144 JK131143:JK131144 TG131143:TG131144 ADC131143:ADC131144 AMY131143:AMY131144 AWU131143:AWU131144 BGQ131143:BGQ131144 BQM131143:BQM131144 CAI131143:CAI131144 CKE131143:CKE131144 CUA131143:CUA131144 DDW131143:DDW131144 DNS131143:DNS131144 DXO131143:DXO131144 EHK131143:EHK131144 ERG131143:ERG131144 FBC131143:FBC131144 FKY131143:FKY131144 FUU131143:FUU131144 GEQ131143:GEQ131144 GOM131143:GOM131144 GYI131143:GYI131144 HIE131143:HIE131144 HSA131143:HSA131144 IBW131143:IBW131144 ILS131143:ILS131144 IVO131143:IVO131144 JFK131143:JFK131144 JPG131143:JPG131144 JZC131143:JZC131144 KIY131143:KIY131144 KSU131143:KSU131144 LCQ131143:LCQ131144 LMM131143:LMM131144 LWI131143:LWI131144 MGE131143:MGE131144 MQA131143:MQA131144 MZW131143:MZW131144 NJS131143:NJS131144 NTO131143:NTO131144 ODK131143:ODK131144 ONG131143:ONG131144 OXC131143:OXC131144 PGY131143:PGY131144 PQU131143:PQU131144 QAQ131143:QAQ131144 QKM131143:QKM131144 QUI131143:QUI131144 REE131143:REE131144 ROA131143:ROA131144 RXW131143:RXW131144 SHS131143:SHS131144 SRO131143:SRO131144 TBK131143:TBK131144 TLG131143:TLG131144 TVC131143:TVC131144 UEY131143:UEY131144 UOU131143:UOU131144 UYQ131143:UYQ131144 VIM131143:VIM131144 VSI131143:VSI131144 WCE131143:WCE131144 WMA131143:WMA131144 WVW131143:WVW131144 O196679:O196680 JK196679:JK196680 TG196679:TG196680 ADC196679:ADC196680 AMY196679:AMY196680 AWU196679:AWU196680 BGQ196679:BGQ196680 BQM196679:BQM196680 CAI196679:CAI196680 CKE196679:CKE196680 CUA196679:CUA196680 DDW196679:DDW196680 DNS196679:DNS196680 DXO196679:DXO196680 EHK196679:EHK196680 ERG196679:ERG196680 FBC196679:FBC196680 FKY196679:FKY196680 FUU196679:FUU196680 GEQ196679:GEQ196680 GOM196679:GOM196680 GYI196679:GYI196680 HIE196679:HIE196680 HSA196679:HSA196680 IBW196679:IBW196680 ILS196679:ILS196680 IVO196679:IVO196680 JFK196679:JFK196680 JPG196679:JPG196680 JZC196679:JZC196680 KIY196679:KIY196680 KSU196679:KSU196680 LCQ196679:LCQ196680 LMM196679:LMM196680 LWI196679:LWI196680 MGE196679:MGE196680 MQA196679:MQA196680 MZW196679:MZW196680 NJS196679:NJS196680 NTO196679:NTO196680 ODK196679:ODK196680 ONG196679:ONG196680 OXC196679:OXC196680 PGY196679:PGY196680 PQU196679:PQU196680 QAQ196679:QAQ196680 QKM196679:QKM196680 QUI196679:QUI196680 REE196679:REE196680 ROA196679:ROA196680 RXW196679:RXW196680 SHS196679:SHS196680 SRO196679:SRO196680 TBK196679:TBK196680 TLG196679:TLG196680 TVC196679:TVC196680 UEY196679:UEY196680 UOU196679:UOU196680 UYQ196679:UYQ196680 VIM196679:VIM196680 VSI196679:VSI196680 WCE196679:WCE196680 WMA196679:WMA196680 WVW196679:WVW196680 O262215:O262216 JK262215:JK262216 TG262215:TG262216 ADC262215:ADC262216 AMY262215:AMY262216 AWU262215:AWU262216 BGQ262215:BGQ262216 BQM262215:BQM262216 CAI262215:CAI262216 CKE262215:CKE262216 CUA262215:CUA262216 DDW262215:DDW262216 DNS262215:DNS262216 DXO262215:DXO262216 EHK262215:EHK262216 ERG262215:ERG262216 FBC262215:FBC262216 FKY262215:FKY262216 FUU262215:FUU262216 GEQ262215:GEQ262216 GOM262215:GOM262216 GYI262215:GYI262216 HIE262215:HIE262216 HSA262215:HSA262216 IBW262215:IBW262216 ILS262215:ILS262216 IVO262215:IVO262216 JFK262215:JFK262216 JPG262215:JPG262216 JZC262215:JZC262216 KIY262215:KIY262216 KSU262215:KSU262216 LCQ262215:LCQ262216 LMM262215:LMM262216 LWI262215:LWI262216 MGE262215:MGE262216 MQA262215:MQA262216 MZW262215:MZW262216 NJS262215:NJS262216 NTO262215:NTO262216 ODK262215:ODK262216 ONG262215:ONG262216 OXC262215:OXC262216 PGY262215:PGY262216 PQU262215:PQU262216 QAQ262215:QAQ262216 QKM262215:QKM262216 QUI262215:QUI262216 REE262215:REE262216 ROA262215:ROA262216 RXW262215:RXW262216 SHS262215:SHS262216 SRO262215:SRO262216 TBK262215:TBK262216 TLG262215:TLG262216 TVC262215:TVC262216 UEY262215:UEY262216 UOU262215:UOU262216 UYQ262215:UYQ262216 VIM262215:VIM262216 VSI262215:VSI262216 WCE262215:WCE262216 WMA262215:WMA262216 WVW262215:WVW262216 O327751:O327752 JK327751:JK327752 TG327751:TG327752 ADC327751:ADC327752 AMY327751:AMY327752 AWU327751:AWU327752 BGQ327751:BGQ327752 BQM327751:BQM327752 CAI327751:CAI327752 CKE327751:CKE327752 CUA327751:CUA327752 DDW327751:DDW327752 DNS327751:DNS327752 DXO327751:DXO327752 EHK327751:EHK327752 ERG327751:ERG327752 FBC327751:FBC327752 FKY327751:FKY327752 FUU327751:FUU327752 GEQ327751:GEQ327752 GOM327751:GOM327752 GYI327751:GYI327752 HIE327751:HIE327752 HSA327751:HSA327752 IBW327751:IBW327752 ILS327751:ILS327752 IVO327751:IVO327752 JFK327751:JFK327752 JPG327751:JPG327752 JZC327751:JZC327752 KIY327751:KIY327752 KSU327751:KSU327752 LCQ327751:LCQ327752 LMM327751:LMM327752 LWI327751:LWI327752 MGE327751:MGE327752 MQA327751:MQA327752 MZW327751:MZW327752 NJS327751:NJS327752 NTO327751:NTO327752 ODK327751:ODK327752 ONG327751:ONG327752 OXC327751:OXC327752 PGY327751:PGY327752 PQU327751:PQU327752 QAQ327751:QAQ327752 QKM327751:QKM327752 QUI327751:QUI327752 REE327751:REE327752 ROA327751:ROA327752 RXW327751:RXW327752 SHS327751:SHS327752 SRO327751:SRO327752 TBK327751:TBK327752 TLG327751:TLG327752 TVC327751:TVC327752 UEY327751:UEY327752 UOU327751:UOU327752 UYQ327751:UYQ327752 VIM327751:VIM327752 VSI327751:VSI327752 WCE327751:WCE327752 WMA327751:WMA327752 WVW327751:WVW327752 O393287:O393288 JK393287:JK393288 TG393287:TG393288 ADC393287:ADC393288 AMY393287:AMY393288 AWU393287:AWU393288 BGQ393287:BGQ393288 BQM393287:BQM393288 CAI393287:CAI393288 CKE393287:CKE393288 CUA393287:CUA393288 DDW393287:DDW393288 DNS393287:DNS393288 DXO393287:DXO393288 EHK393287:EHK393288 ERG393287:ERG393288 FBC393287:FBC393288 FKY393287:FKY393288 FUU393287:FUU393288 GEQ393287:GEQ393288 GOM393287:GOM393288 GYI393287:GYI393288 HIE393287:HIE393288 HSA393287:HSA393288 IBW393287:IBW393288 ILS393287:ILS393288 IVO393287:IVO393288 JFK393287:JFK393288 JPG393287:JPG393288 JZC393287:JZC393288 KIY393287:KIY393288 KSU393287:KSU393288 LCQ393287:LCQ393288 LMM393287:LMM393288 LWI393287:LWI393288 MGE393287:MGE393288 MQA393287:MQA393288 MZW393287:MZW393288 NJS393287:NJS393288 NTO393287:NTO393288 ODK393287:ODK393288 ONG393287:ONG393288 OXC393287:OXC393288 PGY393287:PGY393288 PQU393287:PQU393288 QAQ393287:QAQ393288 QKM393287:QKM393288 QUI393287:QUI393288 REE393287:REE393288 ROA393287:ROA393288 RXW393287:RXW393288 SHS393287:SHS393288 SRO393287:SRO393288 TBK393287:TBK393288 TLG393287:TLG393288 TVC393287:TVC393288 UEY393287:UEY393288 UOU393287:UOU393288 UYQ393287:UYQ393288 VIM393287:VIM393288 VSI393287:VSI393288 WCE393287:WCE393288 WMA393287:WMA393288 WVW393287:WVW393288 O458823:O458824 JK458823:JK458824 TG458823:TG458824 ADC458823:ADC458824 AMY458823:AMY458824 AWU458823:AWU458824 BGQ458823:BGQ458824 BQM458823:BQM458824 CAI458823:CAI458824 CKE458823:CKE458824 CUA458823:CUA458824 DDW458823:DDW458824 DNS458823:DNS458824 DXO458823:DXO458824 EHK458823:EHK458824 ERG458823:ERG458824 FBC458823:FBC458824 FKY458823:FKY458824 FUU458823:FUU458824 GEQ458823:GEQ458824 GOM458823:GOM458824 GYI458823:GYI458824 HIE458823:HIE458824 HSA458823:HSA458824 IBW458823:IBW458824 ILS458823:ILS458824 IVO458823:IVO458824 JFK458823:JFK458824 JPG458823:JPG458824 JZC458823:JZC458824 KIY458823:KIY458824 KSU458823:KSU458824 LCQ458823:LCQ458824 LMM458823:LMM458824 LWI458823:LWI458824 MGE458823:MGE458824 MQA458823:MQA458824 MZW458823:MZW458824 NJS458823:NJS458824 NTO458823:NTO458824 ODK458823:ODK458824 ONG458823:ONG458824 OXC458823:OXC458824 PGY458823:PGY458824 PQU458823:PQU458824 QAQ458823:QAQ458824 QKM458823:QKM458824 QUI458823:QUI458824 REE458823:REE458824 ROA458823:ROA458824 RXW458823:RXW458824 SHS458823:SHS458824 SRO458823:SRO458824 TBK458823:TBK458824 TLG458823:TLG458824 TVC458823:TVC458824 UEY458823:UEY458824 UOU458823:UOU458824 UYQ458823:UYQ458824 VIM458823:VIM458824 VSI458823:VSI458824 WCE458823:WCE458824 WMA458823:WMA458824 WVW458823:WVW458824 O524359:O524360 JK524359:JK524360 TG524359:TG524360 ADC524359:ADC524360 AMY524359:AMY524360 AWU524359:AWU524360 BGQ524359:BGQ524360 BQM524359:BQM524360 CAI524359:CAI524360 CKE524359:CKE524360 CUA524359:CUA524360 DDW524359:DDW524360 DNS524359:DNS524360 DXO524359:DXO524360 EHK524359:EHK524360 ERG524359:ERG524360 FBC524359:FBC524360 FKY524359:FKY524360 FUU524359:FUU524360 GEQ524359:GEQ524360 GOM524359:GOM524360 GYI524359:GYI524360 HIE524359:HIE524360 HSA524359:HSA524360 IBW524359:IBW524360 ILS524359:ILS524360 IVO524359:IVO524360 JFK524359:JFK524360 JPG524359:JPG524360 JZC524359:JZC524360 KIY524359:KIY524360 KSU524359:KSU524360 LCQ524359:LCQ524360 LMM524359:LMM524360 LWI524359:LWI524360 MGE524359:MGE524360 MQA524359:MQA524360 MZW524359:MZW524360 NJS524359:NJS524360 NTO524359:NTO524360 ODK524359:ODK524360 ONG524359:ONG524360 OXC524359:OXC524360 PGY524359:PGY524360 PQU524359:PQU524360 QAQ524359:QAQ524360 QKM524359:QKM524360 QUI524359:QUI524360 REE524359:REE524360 ROA524359:ROA524360 RXW524359:RXW524360 SHS524359:SHS524360 SRO524359:SRO524360 TBK524359:TBK524360 TLG524359:TLG524360 TVC524359:TVC524360 UEY524359:UEY524360 UOU524359:UOU524360 UYQ524359:UYQ524360 VIM524359:VIM524360 VSI524359:VSI524360 WCE524359:WCE524360 WMA524359:WMA524360 WVW524359:WVW524360 O589895:O589896 JK589895:JK589896 TG589895:TG589896 ADC589895:ADC589896 AMY589895:AMY589896 AWU589895:AWU589896 BGQ589895:BGQ589896 BQM589895:BQM589896 CAI589895:CAI589896 CKE589895:CKE589896 CUA589895:CUA589896 DDW589895:DDW589896 DNS589895:DNS589896 DXO589895:DXO589896 EHK589895:EHK589896 ERG589895:ERG589896 FBC589895:FBC589896 FKY589895:FKY589896 FUU589895:FUU589896 GEQ589895:GEQ589896 GOM589895:GOM589896 GYI589895:GYI589896 HIE589895:HIE589896 HSA589895:HSA589896 IBW589895:IBW589896 ILS589895:ILS589896 IVO589895:IVO589896 JFK589895:JFK589896 JPG589895:JPG589896 JZC589895:JZC589896 KIY589895:KIY589896 KSU589895:KSU589896 LCQ589895:LCQ589896 LMM589895:LMM589896 LWI589895:LWI589896 MGE589895:MGE589896 MQA589895:MQA589896 MZW589895:MZW589896 NJS589895:NJS589896 NTO589895:NTO589896 ODK589895:ODK589896 ONG589895:ONG589896 OXC589895:OXC589896 PGY589895:PGY589896 PQU589895:PQU589896 QAQ589895:QAQ589896 QKM589895:QKM589896 QUI589895:QUI589896 REE589895:REE589896 ROA589895:ROA589896 RXW589895:RXW589896 SHS589895:SHS589896 SRO589895:SRO589896 TBK589895:TBK589896 TLG589895:TLG589896 TVC589895:TVC589896 UEY589895:UEY589896 UOU589895:UOU589896 UYQ589895:UYQ589896 VIM589895:VIM589896 VSI589895:VSI589896 WCE589895:WCE589896 WMA589895:WMA589896 WVW589895:WVW589896 O655431:O655432 JK655431:JK655432 TG655431:TG655432 ADC655431:ADC655432 AMY655431:AMY655432 AWU655431:AWU655432 BGQ655431:BGQ655432 BQM655431:BQM655432 CAI655431:CAI655432 CKE655431:CKE655432 CUA655431:CUA655432 DDW655431:DDW655432 DNS655431:DNS655432 DXO655431:DXO655432 EHK655431:EHK655432 ERG655431:ERG655432 FBC655431:FBC655432 FKY655431:FKY655432 FUU655431:FUU655432 GEQ655431:GEQ655432 GOM655431:GOM655432 GYI655431:GYI655432 HIE655431:HIE655432 HSA655431:HSA655432 IBW655431:IBW655432 ILS655431:ILS655432 IVO655431:IVO655432 JFK655431:JFK655432 JPG655431:JPG655432 JZC655431:JZC655432 KIY655431:KIY655432 KSU655431:KSU655432 LCQ655431:LCQ655432 LMM655431:LMM655432 LWI655431:LWI655432 MGE655431:MGE655432 MQA655431:MQA655432 MZW655431:MZW655432 NJS655431:NJS655432 NTO655431:NTO655432 ODK655431:ODK655432 ONG655431:ONG655432 OXC655431:OXC655432 PGY655431:PGY655432 PQU655431:PQU655432 QAQ655431:QAQ655432 QKM655431:QKM655432 QUI655431:QUI655432 REE655431:REE655432 ROA655431:ROA655432 RXW655431:RXW655432 SHS655431:SHS655432 SRO655431:SRO655432 TBK655431:TBK655432 TLG655431:TLG655432 TVC655431:TVC655432 UEY655431:UEY655432 UOU655431:UOU655432 UYQ655431:UYQ655432 VIM655431:VIM655432 VSI655431:VSI655432 WCE655431:WCE655432 WMA655431:WMA655432 WVW655431:WVW655432 O720967:O720968 JK720967:JK720968 TG720967:TG720968 ADC720967:ADC720968 AMY720967:AMY720968 AWU720967:AWU720968 BGQ720967:BGQ720968 BQM720967:BQM720968 CAI720967:CAI720968 CKE720967:CKE720968 CUA720967:CUA720968 DDW720967:DDW720968 DNS720967:DNS720968 DXO720967:DXO720968 EHK720967:EHK720968 ERG720967:ERG720968 FBC720967:FBC720968 FKY720967:FKY720968 FUU720967:FUU720968 GEQ720967:GEQ720968 GOM720967:GOM720968 GYI720967:GYI720968 HIE720967:HIE720968 HSA720967:HSA720968 IBW720967:IBW720968 ILS720967:ILS720968 IVO720967:IVO720968 JFK720967:JFK720968 JPG720967:JPG720968 JZC720967:JZC720968 KIY720967:KIY720968 KSU720967:KSU720968 LCQ720967:LCQ720968 LMM720967:LMM720968 LWI720967:LWI720968 MGE720967:MGE720968 MQA720967:MQA720968 MZW720967:MZW720968 NJS720967:NJS720968 NTO720967:NTO720968 ODK720967:ODK720968 ONG720967:ONG720968 OXC720967:OXC720968 PGY720967:PGY720968 PQU720967:PQU720968 QAQ720967:QAQ720968 QKM720967:QKM720968 QUI720967:QUI720968 REE720967:REE720968 ROA720967:ROA720968 RXW720967:RXW720968 SHS720967:SHS720968 SRO720967:SRO720968 TBK720967:TBK720968 TLG720967:TLG720968 TVC720967:TVC720968 UEY720967:UEY720968 UOU720967:UOU720968 UYQ720967:UYQ720968 VIM720967:VIM720968 VSI720967:VSI720968 WCE720967:WCE720968 WMA720967:WMA720968 WVW720967:WVW720968 O786503:O786504 JK786503:JK786504 TG786503:TG786504 ADC786503:ADC786504 AMY786503:AMY786504 AWU786503:AWU786504 BGQ786503:BGQ786504 BQM786503:BQM786504 CAI786503:CAI786504 CKE786503:CKE786504 CUA786503:CUA786504 DDW786503:DDW786504 DNS786503:DNS786504 DXO786503:DXO786504 EHK786503:EHK786504 ERG786503:ERG786504 FBC786503:FBC786504 FKY786503:FKY786504 FUU786503:FUU786504 GEQ786503:GEQ786504 GOM786503:GOM786504 GYI786503:GYI786504 HIE786503:HIE786504 HSA786503:HSA786504 IBW786503:IBW786504 ILS786503:ILS786504 IVO786503:IVO786504 JFK786503:JFK786504 JPG786503:JPG786504 JZC786503:JZC786504 KIY786503:KIY786504 KSU786503:KSU786504 LCQ786503:LCQ786504 LMM786503:LMM786504 LWI786503:LWI786504 MGE786503:MGE786504 MQA786503:MQA786504 MZW786503:MZW786504 NJS786503:NJS786504 NTO786503:NTO786504 ODK786503:ODK786504 ONG786503:ONG786504 OXC786503:OXC786504 PGY786503:PGY786504 PQU786503:PQU786504 QAQ786503:QAQ786504 QKM786503:QKM786504 QUI786503:QUI786504 REE786503:REE786504 ROA786503:ROA786504 RXW786503:RXW786504 SHS786503:SHS786504 SRO786503:SRO786504 TBK786503:TBK786504 TLG786503:TLG786504 TVC786503:TVC786504 UEY786503:UEY786504 UOU786503:UOU786504 UYQ786503:UYQ786504 VIM786503:VIM786504 VSI786503:VSI786504 WCE786503:WCE786504 WMA786503:WMA786504 WVW786503:WVW786504 O852039:O852040 JK852039:JK852040 TG852039:TG852040 ADC852039:ADC852040 AMY852039:AMY852040 AWU852039:AWU852040 BGQ852039:BGQ852040 BQM852039:BQM852040 CAI852039:CAI852040 CKE852039:CKE852040 CUA852039:CUA852040 DDW852039:DDW852040 DNS852039:DNS852040 DXO852039:DXO852040 EHK852039:EHK852040 ERG852039:ERG852040 FBC852039:FBC852040 FKY852039:FKY852040 FUU852039:FUU852040 GEQ852039:GEQ852040 GOM852039:GOM852040 GYI852039:GYI852040 HIE852039:HIE852040 HSA852039:HSA852040 IBW852039:IBW852040 ILS852039:ILS852040 IVO852039:IVO852040 JFK852039:JFK852040 JPG852039:JPG852040 JZC852039:JZC852040 KIY852039:KIY852040 KSU852039:KSU852040 LCQ852039:LCQ852040 LMM852039:LMM852040 LWI852039:LWI852040 MGE852039:MGE852040 MQA852039:MQA852040 MZW852039:MZW852040 NJS852039:NJS852040 NTO852039:NTO852040 ODK852039:ODK852040 ONG852039:ONG852040 OXC852039:OXC852040 PGY852039:PGY852040 PQU852039:PQU852040 QAQ852039:QAQ852040 QKM852039:QKM852040 QUI852039:QUI852040 REE852039:REE852040 ROA852039:ROA852040 RXW852039:RXW852040 SHS852039:SHS852040 SRO852039:SRO852040 TBK852039:TBK852040 TLG852039:TLG852040 TVC852039:TVC852040 UEY852039:UEY852040 UOU852039:UOU852040 UYQ852039:UYQ852040 VIM852039:VIM852040 VSI852039:VSI852040 WCE852039:WCE852040 WMA852039:WMA852040 WVW852039:WVW852040 O917575:O917576 JK917575:JK917576 TG917575:TG917576 ADC917575:ADC917576 AMY917575:AMY917576 AWU917575:AWU917576 BGQ917575:BGQ917576 BQM917575:BQM917576 CAI917575:CAI917576 CKE917575:CKE917576 CUA917575:CUA917576 DDW917575:DDW917576 DNS917575:DNS917576 DXO917575:DXO917576 EHK917575:EHK917576 ERG917575:ERG917576 FBC917575:FBC917576 FKY917575:FKY917576 FUU917575:FUU917576 GEQ917575:GEQ917576 GOM917575:GOM917576 GYI917575:GYI917576 HIE917575:HIE917576 HSA917575:HSA917576 IBW917575:IBW917576 ILS917575:ILS917576 IVO917575:IVO917576 JFK917575:JFK917576 JPG917575:JPG917576 JZC917575:JZC917576 KIY917575:KIY917576 KSU917575:KSU917576 LCQ917575:LCQ917576 LMM917575:LMM917576 LWI917575:LWI917576 MGE917575:MGE917576 MQA917575:MQA917576 MZW917575:MZW917576 NJS917575:NJS917576 NTO917575:NTO917576 ODK917575:ODK917576 ONG917575:ONG917576 OXC917575:OXC917576 PGY917575:PGY917576 PQU917575:PQU917576 QAQ917575:QAQ917576 QKM917575:QKM917576 QUI917575:QUI917576 REE917575:REE917576 ROA917575:ROA917576 RXW917575:RXW917576 SHS917575:SHS917576 SRO917575:SRO917576 TBK917575:TBK917576 TLG917575:TLG917576 TVC917575:TVC917576 UEY917575:UEY917576 UOU917575:UOU917576 UYQ917575:UYQ917576 VIM917575:VIM917576 VSI917575:VSI917576 WCE917575:WCE917576 WMA917575:WMA917576 WVW917575:WVW917576 O983111:O983112 JK983111:JK983112 TG983111:TG983112 ADC983111:ADC983112 AMY983111:AMY983112 AWU983111:AWU983112 BGQ983111:BGQ983112 BQM983111:BQM983112 CAI983111:CAI983112 CKE983111:CKE983112 CUA983111:CUA983112 DDW983111:DDW983112 DNS983111:DNS983112 DXO983111:DXO983112 EHK983111:EHK983112 ERG983111:ERG983112 FBC983111:FBC983112 FKY983111:FKY983112 FUU983111:FUU983112 GEQ983111:GEQ983112 GOM983111:GOM983112 GYI983111:GYI983112 HIE983111:HIE983112 HSA983111:HSA983112 IBW983111:IBW983112 ILS983111:ILS983112 IVO983111:IVO983112 JFK983111:JFK983112 JPG983111:JPG983112 JZC983111:JZC983112 KIY983111:KIY983112 KSU983111:KSU983112 LCQ983111:LCQ983112 LMM983111:LMM983112 LWI983111:LWI983112 MGE983111:MGE983112 MQA983111:MQA983112 MZW983111:MZW983112 NJS983111:NJS983112 NTO983111:NTO983112 ODK983111:ODK983112 ONG983111:ONG983112 OXC983111:OXC983112 PGY983111:PGY983112 PQU983111:PQU983112 QAQ983111:QAQ983112 QKM983111:QKM983112 QUI983111:QUI983112 REE983111:REE983112 ROA983111:ROA983112 RXW983111:RXW983112 SHS983111:SHS983112 SRO983111:SRO983112 TBK983111:TBK983112 TLG983111:TLG983112 TVC983111:TVC983112 UEY983111:UEY983112 UOU983111:UOU983112 UYQ983111:UYQ983112 VIM983111:VIM983112 VSI983111:VSI983112 WCE983111:WCE983112 WMA983111:WMA983112 WVW983111:WVW983112 BQM71:BQM77 O65610:O65616 JK65610:JK65616 TG65610:TG65616 ADC65610:ADC65616 AMY65610:AMY65616 AWU65610:AWU65616 BGQ65610:BGQ65616 BQM65610:BQM65616 CAI65610:CAI65616 CKE65610:CKE65616 CUA65610:CUA65616 DDW65610:DDW65616 DNS65610:DNS65616 DXO65610:DXO65616 EHK65610:EHK65616 ERG65610:ERG65616 FBC65610:FBC65616 FKY65610:FKY65616 FUU65610:FUU65616 GEQ65610:GEQ65616 GOM65610:GOM65616 GYI65610:GYI65616 HIE65610:HIE65616 HSA65610:HSA65616 IBW65610:IBW65616 ILS65610:ILS65616 IVO65610:IVO65616 JFK65610:JFK65616 JPG65610:JPG65616 JZC65610:JZC65616 KIY65610:KIY65616 KSU65610:KSU65616 LCQ65610:LCQ65616 LMM65610:LMM65616 LWI65610:LWI65616 MGE65610:MGE65616 MQA65610:MQA65616 MZW65610:MZW65616 NJS65610:NJS65616 NTO65610:NTO65616 ODK65610:ODK65616 ONG65610:ONG65616 OXC65610:OXC65616 PGY65610:PGY65616 PQU65610:PQU65616 QAQ65610:QAQ65616 QKM65610:QKM65616 QUI65610:QUI65616 REE65610:REE65616 ROA65610:ROA65616 RXW65610:RXW65616 SHS65610:SHS65616 SRO65610:SRO65616 TBK65610:TBK65616 TLG65610:TLG65616 TVC65610:TVC65616 UEY65610:UEY65616 UOU65610:UOU65616 UYQ65610:UYQ65616 VIM65610:VIM65616 VSI65610:VSI65616 WCE65610:WCE65616 WMA65610:WMA65616 WVW65610:WVW65616 O131146:O131152 JK131146:JK131152 TG131146:TG131152 ADC131146:ADC131152 AMY131146:AMY131152 AWU131146:AWU131152 BGQ131146:BGQ131152 BQM131146:BQM131152 CAI131146:CAI131152 CKE131146:CKE131152 CUA131146:CUA131152 DDW131146:DDW131152 DNS131146:DNS131152 DXO131146:DXO131152 EHK131146:EHK131152 ERG131146:ERG131152 FBC131146:FBC131152 FKY131146:FKY131152 FUU131146:FUU131152 GEQ131146:GEQ131152 GOM131146:GOM131152 GYI131146:GYI131152 HIE131146:HIE131152 HSA131146:HSA131152 IBW131146:IBW131152 ILS131146:ILS131152 IVO131146:IVO131152 JFK131146:JFK131152 JPG131146:JPG131152 JZC131146:JZC131152 KIY131146:KIY131152 KSU131146:KSU131152 LCQ131146:LCQ131152 LMM131146:LMM131152 LWI131146:LWI131152 MGE131146:MGE131152 MQA131146:MQA131152 MZW131146:MZW131152 NJS131146:NJS131152 NTO131146:NTO131152 ODK131146:ODK131152 ONG131146:ONG131152 OXC131146:OXC131152 PGY131146:PGY131152 PQU131146:PQU131152 QAQ131146:QAQ131152 QKM131146:QKM131152 QUI131146:QUI131152 REE131146:REE131152 ROA131146:ROA131152 RXW131146:RXW131152 SHS131146:SHS131152 SRO131146:SRO131152 TBK131146:TBK131152 TLG131146:TLG131152 TVC131146:TVC131152 UEY131146:UEY131152 UOU131146:UOU131152 UYQ131146:UYQ131152 VIM131146:VIM131152 VSI131146:VSI131152 WCE131146:WCE131152 WMA131146:WMA131152 WVW131146:WVW131152 O196682:O196688 JK196682:JK196688 TG196682:TG196688 ADC196682:ADC196688 AMY196682:AMY196688 AWU196682:AWU196688 BGQ196682:BGQ196688 BQM196682:BQM196688 CAI196682:CAI196688 CKE196682:CKE196688 CUA196682:CUA196688 DDW196682:DDW196688 DNS196682:DNS196688 DXO196682:DXO196688 EHK196682:EHK196688 ERG196682:ERG196688 FBC196682:FBC196688 FKY196682:FKY196688 FUU196682:FUU196688 GEQ196682:GEQ196688 GOM196682:GOM196688 GYI196682:GYI196688 HIE196682:HIE196688 HSA196682:HSA196688 IBW196682:IBW196688 ILS196682:ILS196688 IVO196682:IVO196688 JFK196682:JFK196688 JPG196682:JPG196688 JZC196682:JZC196688 KIY196682:KIY196688 KSU196682:KSU196688 LCQ196682:LCQ196688 LMM196682:LMM196688 LWI196682:LWI196688 MGE196682:MGE196688 MQA196682:MQA196688 MZW196682:MZW196688 NJS196682:NJS196688 NTO196682:NTO196688 ODK196682:ODK196688 ONG196682:ONG196688 OXC196682:OXC196688 PGY196682:PGY196688 PQU196682:PQU196688 QAQ196682:QAQ196688 QKM196682:QKM196688 QUI196682:QUI196688 REE196682:REE196688 ROA196682:ROA196688 RXW196682:RXW196688 SHS196682:SHS196688 SRO196682:SRO196688 TBK196682:TBK196688 TLG196682:TLG196688 TVC196682:TVC196688 UEY196682:UEY196688 UOU196682:UOU196688 UYQ196682:UYQ196688 VIM196682:VIM196688 VSI196682:VSI196688 WCE196682:WCE196688 WMA196682:WMA196688 WVW196682:WVW196688 O262218:O262224 JK262218:JK262224 TG262218:TG262224 ADC262218:ADC262224 AMY262218:AMY262224 AWU262218:AWU262224 BGQ262218:BGQ262224 BQM262218:BQM262224 CAI262218:CAI262224 CKE262218:CKE262224 CUA262218:CUA262224 DDW262218:DDW262224 DNS262218:DNS262224 DXO262218:DXO262224 EHK262218:EHK262224 ERG262218:ERG262224 FBC262218:FBC262224 FKY262218:FKY262224 FUU262218:FUU262224 GEQ262218:GEQ262224 GOM262218:GOM262224 GYI262218:GYI262224 HIE262218:HIE262224 HSA262218:HSA262224 IBW262218:IBW262224 ILS262218:ILS262224 IVO262218:IVO262224 JFK262218:JFK262224 JPG262218:JPG262224 JZC262218:JZC262224 KIY262218:KIY262224 KSU262218:KSU262224 LCQ262218:LCQ262224 LMM262218:LMM262224 LWI262218:LWI262224 MGE262218:MGE262224 MQA262218:MQA262224 MZW262218:MZW262224 NJS262218:NJS262224 NTO262218:NTO262224 ODK262218:ODK262224 ONG262218:ONG262224 OXC262218:OXC262224 PGY262218:PGY262224 PQU262218:PQU262224 QAQ262218:QAQ262224 QKM262218:QKM262224 QUI262218:QUI262224 REE262218:REE262224 ROA262218:ROA262224 RXW262218:RXW262224 SHS262218:SHS262224 SRO262218:SRO262224 TBK262218:TBK262224 TLG262218:TLG262224 TVC262218:TVC262224 UEY262218:UEY262224 UOU262218:UOU262224 UYQ262218:UYQ262224 VIM262218:VIM262224 VSI262218:VSI262224 WCE262218:WCE262224 WMA262218:WMA262224 WVW262218:WVW262224 O327754:O327760 JK327754:JK327760 TG327754:TG327760 ADC327754:ADC327760 AMY327754:AMY327760 AWU327754:AWU327760 BGQ327754:BGQ327760 BQM327754:BQM327760 CAI327754:CAI327760 CKE327754:CKE327760 CUA327754:CUA327760 DDW327754:DDW327760 DNS327754:DNS327760 DXO327754:DXO327760 EHK327754:EHK327760 ERG327754:ERG327760 FBC327754:FBC327760 FKY327754:FKY327760 FUU327754:FUU327760 GEQ327754:GEQ327760 GOM327754:GOM327760 GYI327754:GYI327760 HIE327754:HIE327760 HSA327754:HSA327760 IBW327754:IBW327760 ILS327754:ILS327760 IVO327754:IVO327760 JFK327754:JFK327760 JPG327754:JPG327760 JZC327754:JZC327760 KIY327754:KIY327760 KSU327754:KSU327760 LCQ327754:LCQ327760 LMM327754:LMM327760 LWI327754:LWI327760 MGE327754:MGE327760 MQA327754:MQA327760 MZW327754:MZW327760 NJS327754:NJS327760 NTO327754:NTO327760 ODK327754:ODK327760 ONG327754:ONG327760 OXC327754:OXC327760 PGY327754:PGY327760 PQU327754:PQU327760 QAQ327754:QAQ327760 QKM327754:QKM327760 QUI327754:QUI327760 REE327754:REE327760 ROA327754:ROA327760 RXW327754:RXW327760 SHS327754:SHS327760 SRO327754:SRO327760 TBK327754:TBK327760 TLG327754:TLG327760 TVC327754:TVC327760 UEY327754:UEY327760 UOU327754:UOU327760 UYQ327754:UYQ327760 VIM327754:VIM327760 VSI327754:VSI327760 WCE327754:WCE327760 WMA327754:WMA327760 WVW327754:WVW327760 O393290:O393296 JK393290:JK393296 TG393290:TG393296 ADC393290:ADC393296 AMY393290:AMY393296 AWU393290:AWU393296 BGQ393290:BGQ393296 BQM393290:BQM393296 CAI393290:CAI393296 CKE393290:CKE393296 CUA393290:CUA393296 DDW393290:DDW393296 DNS393290:DNS393296 DXO393290:DXO393296 EHK393290:EHK393296 ERG393290:ERG393296 FBC393290:FBC393296 FKY393290:FKY393296 FUU393290:FUU393296 GEQ393290:GEQ393296 GOM393290:GOM393296 GYI393290:GYI393296 HIE393290:HIE393296 HSA393290:HSA393296 IBW393290:IBW393296 ILS393290:ILS393296 IVO393290:IVO393296 JFK393290:JFK393296 JPG393290:JPG393296 JZC393290:JZC393296 KIY393290:KIY393296 KSU393290:KSU393296 LCQ393290:LCQ393296 LMM393290:LMM393296 LWI393290:LWI393296 MGE393290:MGE393296 MQA393290:MQA393296 MZW393290:MZW393296 NJS393290:NJS393296 NTO393290:NTO393296 ODK393290:ODK393296 ONG393290:ONG393296 OXC393290:OXC393296 PGY393290:PGY393296 PQU393290:PQU393296 QAQ393290:QAQ393296 QKM393290:QKM393296 QUI393290:QUI393296 REE393290:REE393296 ROA393290:ROA393296 RXW393290:RXW393296 SHS393290:SHS393296 SRO393290:SRO393296 TBK393290:TBK393296 TLG393290:TLG393296 TVC393290:TVC393296 UEY393290:UEY393296 UOU393290:UOU393296 UYQ393290:UYQ393296 VIM393290:VIM393296 VSI393290:VSI393296 WCE393290:WCE393296 WMA393290:WMA393296 WVW393290:WVW393296 O458826:O458832 JK458826:JK458832 TG458826:TG458832 ADC458826:ADC458832 AMY458826:AMY458832 AWU458826:AWU458832 BGQ458826:BGQ458832 BQM458826:BQM458832 CAI458826:CAI458832 CKE458826:CKE458832 CUA458826:CUA458832 DDW458826:DDW458832 DNS458826:DNS458832 DXO458826:DXO458832 EHK458826:EHK458832 ERG458826:ERG458832 FBC458826:FBC458832 FKY458826:FKY458832 FUU458826:FUU458832 GEQ458826:GEQ458832 GOM458826:GOM458832 GYI458826:GYI458832 HIE458826:HIE458832 HSA458826:HSA458832 IBW458826:IBW458832 ILS458826:ILS458832 IVO458826:IVO458832 JFK458826:JFK458832 JPG458826:JPG458832 JZC458826:JZC458832 KIY458826:KIY458832 KSU458826:KSU458832 LCQ458826:LCQ458832 LMM458826:LMM458832 LWI458826:LWI458832 MGE458826:MGE458832 MQA458826:MQA458832 MZW458826:MZW458832 NJS458826:NJS458832 NTO458826:NTO458832 ODK458826:ODK458832 ONG458826:ONG458832 OXC458826:OXC458832 PGY458826:PGY458832 PQU458826:PQU458832 QAQ458826:QAQ458832 QKM458826:QKM458832 QUI458826:QUI458832 REE458826:REE458832 ROA458826:ROA458832 RXW458826:RXW458832 SHS458826:SHS458832 SRO458826:SRO458832 TBK458826:TBK458832 TLG458826:TLG458832 TVC458826:TVC458832 UEY458826:UEY458832 UOU458826:UOU458832 UYQ458826:UYQ458832 VIM458826:VIM458832 VSI458826:VSI458832 WCE458826:WCE458832 WMA458826:WMA458832 WVW458826:WVW458832 O524362:O524368 JK524362:JK524368 TG524362:TG524368 ADC524362:ADC524368 AMY524362:AMY524368 AWU524362:AWU524368 BGQ524362:BGQ524368 BQM524362:BQM524368 CAI524362:CAI524368 CKE524362:CKE524368 CUA524362:CUA524368 DDW524362:DDW524368 DNS524362:DNS524368 DXO524362:DXO524368 EHK524362:EHK524368 ERG524362:ERG524368 FBC524362:FBC524368 FKY524362:FKY524368 FUU524362:FUU524368 GEQ524362:GEQ524368 GOM524362:GOM524368 GYI524362:GYI524368 HIE524362:HIE524368 HSA524362:HSA524368 IBW524362:IBW524368 ILS524362:ILS524368 IVO524362:IVO524368 JFK524362:JFK524368 JPG524362:JPG524368 JZC524362:JZC524368 KIY524362:KIY524368 KSU524362:KSU524368 LCQ524362:LCQ524368 LMM524362:LMM524368 LWI524362:LWI524368 MGE524362:MGE524368 MQA524362:MQA524368 MZW524362:MZW524368 NJS524362:NJS524368 NTO524362:NTO524368 ODK524362:ODK524368 ONG524362:ONG524368 OXC524362:OXC524368 PGY524362:PGY524368 PQU524362:PQU524368 QAQ524362:QAQ524368 QKM524362:QKM524368 QUI524362:QUI524368 REE524362:REE524368 ROA524362:ROA524368 RXW524362:RXW524368 SHS524362:SHS524368 SRO524362:SRO524368 TBK524362:TBK524368 TLG524362:TLG524368 TVC524362:TVC524368 UEY524362:UEY524368 UOU524362:UOU524368 UYQ524362:UYQ524368 VIM524362:VIM524368 VSI524362:VSI524368 WCE524362:WCE524368 WMA524362:WMA524368 WVW524362:WVW524368 O589898:O589904 JK589898:JK589904 TG589898:TG589904 ADC589898:ADC589904 AMY589898:AMY589904 AWU589898:AWU589904 BGQ589898:BGQ589904 BQM589898:BQM589904 CAI589898:CAI589904 CKE589898:CKE589904 CUA589898:CUA589904 DDW589898:DDW589904 DNS589898:DNS589904 DXO589898:DXO589904 EHK589898:EHK589904 ERG589898:ERG589904 FBC589898:FBC589904 FKY589898:FKY589904 FUU589898:FUU589904 GEQ589898:GEQ589904 GOM589898:GOM589904 GYI589898:GYI589904 HIE589898:HIE589904 HSA589898:HSA589904 IBW589898:IBW589904 ILS589898:ILS589904 IVO589898:IVO589904 JFK589898:JFK589904 JPG589898:JPG589904 JZC589898:JZC589904 KIY589898:KIY589904 KSU589898:KSU589904 LCQ589898:LCQ589904 LMM589898:LMM589904 LWI589898:LWI589904 MGE589898:MGE589904 MQA589898:MQA589904 MZW589898:MZW589904 NJS589898:NJS589904 NTO589898:NTO589904 ODK589898:ODK589904 ONG589898:ONG589904 OXC589898:OXC589904 PGY589898:PGY589904 PQU589898:PQU589904 QAQ589898:QAQ589904 QKM589898:QKM589904 QUI589898:QUI589904 REE589898:REE589904 ROA589898:ROA589904 RXW589898:RXW589904 SHS589898:SHS589904 SRO589898:SRO589904 TBK589898:TBK589904 TLG589898:TLG589904 TVC589898:TVC589904 UEY589898:UEY589904 UOU589898:UOU589904 UYQ589898:UYQ589904 VIM589898:VIM589904 VSI589898:VSI589904 WCE589898:WCE589904 WMA589898:WMA589904 WVW589898:WVW589904 O655434:O655440 JK655434:JK655440 TG655434:TG655440 ADC655434:ADC655440 AMY655434:AMY655440 AWU655434:AWU655440 BGQ655434:BGQ655440 BQM655434:BQM655440 CAI655434:CAI655440 CKE655434:CKE655440 CUA655434:CUA655440 DDW655434:DDW655440 DNS655434:DNS655440 DXO655434:DXO655440 EHK655434:EHK655440 ERG655434:ERG655440 FBC655434:FBC655440 FKY655434:FKY655440 FUU655434:FUU655440 GEQ655434:GEQ655440 GOM655434:GOM655440 GYI655434:GYI655440 HIE655434:HIE655440 HSA655434:HSA655440 IBW655434:IBW655440 ILS655434:ILS655440 IVO655434:IVO655440 JFK655434:JFK655440 JPG655434:JPG655440 JZC655434:JZC655440 KIY655434:KIY655440 KSU655434:KSU655440 LCQ655434:LCQ655440 LMM655434:LMM655440 LWI655434:LWI655440 MGE655434:MGE655440 MQA655434:MQA655440 MZW655434:MZW655440 NJS655434:NJS655440 NTO655434:NTO655440 ODK655434:ODK655440 ONG655434:ONG655440 OXC655434:OXC655440 PGY655434:PGY655440 PQU655434:PQU655440 QAQ655434:QAQ655440 QKM655434:QKM655440 QUI655434:QUI655440 REE655434:REE655440 ROA655434:ROA655440 RXW655434:RXW655440 SHS655434:SHS655440 SRO655434:SRO655440 TBK655434:TBK655440 TLG655434:TLG655440 TVC655434:TVC655440 UEY655434:UEY655440 UOU655434:UOU655440 UYQ655434:UYQ655440 VIM655434:VIM655440 VSI655434:VSI655440 WCE655434:WCE655440 WMA655434:WMA655440 WVW655434:WVW655440 O720970:O720976 JK720970:JK720976 TG720970:TG720976 ADC720970:ADC720976 AMY720970:AMY720976 AWU720970:AWU720976 BGQ720970:BGQ720976 BQM720970:BQM720976 CAI720970:CAI720976 CKE720970:CKE720976 CUA720970:CUA720976 DDW720970:DDW720976 DNS720970:DNS720976 DXO720970:DXO720976 EHK720970:EHK720976 ERG720970:ERG720976 FBC720970:FBC720976 FKY720970:FKY720976 FUU720970:FUU720976 GEQ720970:GEQ720976 GOM720970:GOM720976 GYI720970:GYI720976 HIE720970:HIE720976 HSA720970:HSA720976 IBW720970:IBW720976 ILS720970:ILS720976 IVO720970:IVO720976 JFK720970:JFK720976 JPG720970:JPG720976 JZC720970:JZC720976 KIY720970:KIY720976 KSU720970:KSU720976 LCQ720970:LCQ720976 LMM720970:LMM720976 LWI720970:LWI720976 MGE720970:MGE720976 MQA720970:MQA720976 MZW720970:MZW720976 NJS720970:NJS720976 NTO720970:NTO720976 ODK720970:ODK720976 ONG720970:ONG720976 OXC720970:OXC720976 PGY720970:PGY720976 PQU720970:PQU720976 QAQ720970:QAQ720976 QKM720970:QKM720976 QUI720970:QUI720976 REE720970:REE720976 ROA720970:ROA720976 RXW720970:RXW720976 SHS720970:SHS720976 SRO720970:SRO720976 TBK720970:TBK720976 TLG720970:TLG720976 TVC720970:TVC720976 UEY720970:UEY720976 UOU720970:UOU720976 UYQ720970:UYQ720976 VIM720970:VIM720976 VSI720970:VSI720976 WCE720970:WCE720976 WMA720970:WMA720976 WVW720970:WVW720976 O786506:O786512 JK786506:JK786512 TG786506:TG786512 ADC786506:ADC786512 AMY786506:AMY786512 AWU786506:AWU786512 BGQ786506:BGQ786512 BQM786506:BQM786512 CAI786506:CAI786512 CKE786506:CKE786512 CUA786506:CUA786512 DDW786506:DDW786512 DNS786506:DNS786512 DXO786506:DXO786512 EHK786506:EHK786512 ERG786506:ERG786512 FBC786506:FBC786512 FKY786506:FKY786512 FUU786506:FUU786512 GEQ786506:GEQ786512 GOM786506:GOM786512 GYI786506:GYI786512 HIE786506:HIE786512 HSA786506:HSA786512 IBW786506:IBW786512 ILS786506:ILS786512 IVO786506:IVO786512 JFK786506:JFK786512 JPG786506:JPG786512 JZC786506:JZC786512 KIY786506:KIY786512 KSU786506:KSU786512 LCQ786506:LCQ786512 LMM786506:LMM786512 LWI786506:LWI786512 MGE786506:MGE786512 MQA786506:MQA786512 MZW786506:MZW786512 NJS786506:NJS786512 NTO786506:NTO786512 ODK786506:ODK786512 ONG786506:ONG786512 OXC786506:OXC786512 PGY786506:PGY786512 PQU786506:PQU786512 QAQ786506:QAQ786512 QKM786506:QKM786512 QUI786506:QUI786512 REE786506:REE786512 ROA786506:ROA786512 RXW786506:RXW786512 SHS786506:SHS786512 SRO786506:SRO786512 TBK786506:TBK786512 TLG786506:TLG786512 TVC786506:TVC786512 UEY786506:UEY786512 UOU786506:UOU786512 UYQ786506:UYQ786512 VIM786506:VIM786512 VSI786506:VSI786512 WCE786506:WCE786512 WMA786506:WMA786512 WVW786506:WVW786512 O852042:O852048 JK852042:JK852048 TG852042:TG852048 ADC852042:ADC852048 AMY852042:AMY852048 AWU852042:AWU852048 BGQ852042:BGQ852048 BQM852042:BQM852048 CAI852042:CAI852048 CKE852042:CKE852048 CUA852042:CUA852048 DDW852042:DDW852048 DNS852042:DNS852048 DXO852042:DXO852048 EHK852042:EHK852048 ERG852042:ERG852048 FBC852042:FBC852048 FKY852042:FKY852048 FUU852042:FUU852048 GEQ852042:GEQ852048 GOM852042:GOM852048 GYI852042:GYI852048 HIE852042:HIE852048 HSA852042:HSA852048 IBW852042:IBW852048 ILS852042:ILS852048 IVO852042:IVO852048 JFK852042:JFK852048 JPG852042:JPG852048 JZC852042:JZC852048 KIY852042:KIY852048 KSU852042:KSU852048 LCQ852042:LCQ852048 LMM852042:LMM852048 LWI852042:LWI852048 MGE852042:MGE852048 MQA852042:MQA852048 MZW852042:MZW852048 NJS852042:NJS852048 NTO852042:NTO852048 ODK852042:ODK852048 ONG852042:ONG852048 OXC852042:OXC852048 PGY852042:PGY852048 PQU852042:PQU852048 QAQ852042:QAQ852048 QKM852042:QKM852048 QUI852042:QUI852048 REE852042:REE852048 ROA852042:ROA852048 RXW852042:RXW852048 SHS852042:SHS852048 SRO852042:SRO852048 TBK852042:TBK852048 TLG852042:TLG852048 TVC852042:TVC852048 UEY852042:UEY852048 UOU852042:UOU852048 UYQ852042:UYQ852048 VIM852042:VIM852048 VSI852042:VSI852048 WCE852042:WCE852048 WMA852042:WMA852048 WVW852042:WVW852048 O917578:O917584 JK917578:JK917584 TG917578:TG917584 ADC917578:ADC917584 AMY917578:AMY917584 AWU917578:AWU917584 BGQ917578:BGQ917584 BQM917578:BQM917584 CAI917578:CAI917584 CKE917578:CKE917584 CUA917578:CUA917584 DDW917578:DDW917584 DNS917578:DNS917584 DXO917578:DXO917584 EHK917578:EHK917584 ERG917578:ERG917584 FBC917578:FBC917584 FKY917578:FKY917584 FUU917578:FUU917584 GEQ917578:GEQ917584 GOM917578:GOM917584 GYI917578:GYI917584 HIE917578:HIE917584 HSA917578:HSA917584 IBW917578:IBW917584 ILS917578:ILS917584 IVO917578:IVO917584 JFK917578:JFK917584 JPG917578:JPG917584 JZC917578:JZC917584 KIY917578:KIY917584 KSU917578:KSU917584 LCQ917578:LCQ917584 LMM917578:LMM917584 LWI917578:LWI917584 MGE917578:MGE917584 MQA917578:MQA917584 MZW917578:MZW917584 NJS917578:NJS917584 NTO917578:NTO917584 ODK917578:ODK917584 ONG917578:ONG917584 OXC917578:OXC917584 PGY917578:PGY917584 PQU917578:PQU917584 QAQ917578:QAQ917584 QKM917578:QKM917584 QUI917578:QUI917584 REE917578:REE917584 ROA917578:ROA917584 RXW917578:RXW917584 SHS917578:SHS917584 SRO917578:SRO917584 TBK917578:TBK917584 TLG917578:TLG917584 TVC917578:TVC917584 UEY917578:UEY917584 UOU917578:UOU917584 UYQ917578:UYQ917584 VIM917578:VIM917584 VSI917578:VSI917584 WCE917578:WCE917584 WMA917578:WMA917584 WVW917578:WVW917584 O983114:O983120 JK983114:JK983120 TG983114:TG983120 ADC983114:ADC983120 AMY983114:AMY983120 AWU983114:AWU983120 BGQ983114:BGQ983120 BQM983114:BQM983120 CAI983114:CAI983120 CKE983114:CKE983120 CUA983114:CUA983120 DDW983114:DDW983120 DNS983114:DNS983120 DXO983114:DXO983120 EHK983114:EHK983120 ERG983114:ERG983120 FBC983114:FBC983120 FKY983114:FKY983120 FUU983114:FUU983120 GEQ983114:GEQ983120 GOM983114:GOM983120 GYI983114:GYI983120 HIE983114:HIE983120 HSA983114:HSA983120 IBW983114:IBW983120 ILS983114:ILS983120 IVO983114:IVO983120 JFK983114:JFK983120 JPG983114:JPG983120 JZC983114:JZC983120 KIY983114:KIY983120 KSU983114:KSU983120 LCQ983114:LCQ983120 LMM983114:LMM983120 LWI983114:LWI983120 MGE983114:MGE983120 MQA983114:MQA983120 MZW983114:MZW983120 NJS983114:NJS983120 NTO983114:NTO983120 ODK983114:ODK983120 ONG983114:ONG983120 OXC983114:OXC983120 PGY983114:PGY983120 PQU983114:PQU983120 QAQ983114:QAQ983120 QKM983114:QKM983120 QUI983114:QUI983120 REE983114:REE983120 ROA983114:ROA983120 RXW983114:RXW983120 SHS983114:SHS983120 SRO983114:SRO983120 TBK983114:TBK983120 TLG983114:TLG983120 TVC983114:TVC983120 UEY983114:UEY983120 UOU983114:UOU983120 UYQ983114:UYQ983120 VIM983114:VIM983120 VSI983114:VSI983120 WCE983114:WCE983120 WMA983114:WMA983120 WVW983114:WVW983120 DNS71:DNS77 JR68:JR69 TN68:TN69 ADJ68:ADJ69 ANF68:ANF69 AXB68:AXB69 BGX68:BGX69 BQT68:BQT69 CAP68:CAP69 CKL68:CKL69 CUH68:CUH69 DED68:DED69 DNZ68:DNZ69 DXV68:DXV69 EHR68:EHR69 ERN68:ERN69 FBJ68:FBJ69 FLF68:FLF69 FVB68:FVB69 GEX68:GEX69 GOT68:GOT69 GYP68:GYP69 HIL68:HIL69 HSH68:HSH69 ICD68:ICD69 ILZ68:ILZ69 IVV68:IVV69 JFR68:JFR69 JPN68:JPN69 JZJ68:JZJ69 KJF68:KJF69 KTB68:KTB69 LCX68:LCX69 LMT68:LMT69 LWP68:LWP69 MGL68:MGL69 MQH68:MQH69 NAD68:NAD69 NJZ68:NJZ69 NTV68:NTV69 ODR68:ODR69 ONN68:ONN69 OXJ68:OXJ69 PHF68:PHF69 PRB68:PRB69 QAX68:QAX69 QKT68:QKT69 QUP68:QUP69 REL68:REL69 ROH68:ROH69 RYD68:RYD69 SHZ68:SHZ69 SRV68:SRV69 TBR68:TBR69 TLN68:TLN69 TVJ68:TVJ69 UFF68:UFF69 UPB68:UPB69 UYX68:UYX69 VIT68:VIT69 VSP68:VSP69 WCL68:WCL69 WMH68:WMH69 WWD68:WWD69 V65607:V65608 JR65607:JR65608 TN65607:TN65608 ADJ65607:ADJ65608 ANF65607:ANF65608 AXB65607:AXB65608 BGX65607:BGX65608 BQT65607:BQT65608 CAP65607:CAP65608 CKL65607:CKL65608 CUH65607:CUH65608 DED65607:DED65608 DNZ65607:DNZ65608 DXV65607:DXV65608 EHR65607:EHR65608 ERN65607:ERN65608 FBJ65607:FBJ65608 FLF65607:FLF65608 FVB65607:FVB65608 GEX65607:GEX65608 GOT65607:GOT65608 GYP65607:GYP65608 HIL65607:HIL65608 HSH65607:HSH65608 ICD65607:ICD65608 ILZ65607:ILZ65608 IVV65607:IVV65608 JFR65607:JFR65608 JPN65607:JPN65608 JZJ65607:JZJ65608 KJF65607:KJF65608 KTB65607:KTB65608 LCX65607:LCX65608 LMT65607:LMT65608 LWP65607:LWP65608 MGL65607:MGL65608 MQH65607:MQH65608 NAD65607:NAD65608 NJZ65607:NJZ65608 NTV65607:NTV65608 ODR65607:ODR65608 ONN65607:ONN65608 OXJ65607:OXJ65608 PHF65607:PHF65608 PRB65607:PRB65608 QAX65607:QAX65608 QKT65607:QKT65608 QUP65607:QUP65608 REL65607:REL65608 ROH65607:ROH65608 RYD65607:RYD65608 SHZ65607:SHZ65608 SRV65607:SRV65608 TBR65607:TBR65608 TLN65607:TLN65608 TVJ65607:TVJ65608 UFF65607:UFF65608 UPB65607:UPB65608 UYX65607:UYX65608 VIT65607:VIT65608 VSP65607:VSP65608 WCL65607:WCL65608 WMH65607:WMH65608 WWD65607:WWD65608 V131143:V131144 JR131143:JR131144 TN131143:TN131144 ADJ131143:ADJ131144 ANF131143:ANF131144 AXB131143:AXB131144 BGX131143:BGX131144 BQT131143:BQT131144 CAP131143:CAP131144 CKL131143:CKL131144 CUH131143:CUH131144 DED131143:DED131144 DNZ131143:DNZ131144 DXV131143:DXV131144 EHR131143:EHR131144 ERN131143:ERN131144 FBJ131143:FBJ131144 FLF131143:FLF131144 FVB131143:FVB131144 GEX131143:GEX131144 GOT131143:GOT131144 GYP131143:GYP131144 HIL131143:HIL131144 HSH131143:HSH131144 ICD131143:ICD131144 ILZ131143:ILZ131144 IVV131143:IVV131144 JFR131143:JFR131144 JPN131143:JPN131144 JZJ131143:JZJ131144 KJF131143:KJF131144 KTB131143:KTB131144 LCX131143:LCX131144 LMT131143:LMT131144 LWP131143:LWP131144 MGL131143:MGL131144 MQH131143:MQH131144 NAD131143:NAD131144 NJZ131143:NJZ131144 NTV131143:NTV131144 ODR131143:ODR131144 ONN131143:ONN131144 OXJ131143:OXJ131144 PHF131143:PHF131144 PRB131143:PRB131144 QAX131143:QAX131144 QKT131143:QKT131144 QUP131143:QUP131144 REL131143:REL131144 ROH131143:ROH131144 RYD131143:RYD131144 SHZ131143:SHZ131144 SRV131143:SRV131144 TBR131143:TBR131144 TLN131143:TLN131144 TVJ131143:TVJ131144 UFF131143:UFF131144 UPB131143:UPB131144 UYX131143:UYX131144 VIT131143:VIT131144 VSP131143:VSP131144 WCL131143:WCL131144 WMH131143:WMH131144 WWD131143:WWD131144 V196679:V196680 JR196679:JR196680 TN196679:TN196680 ADJ196679:ADJ196680 ANF196679:ANF196680 AXB196679:AXB196680 BGX196679:BGX196680 BQT196679:BQT196680 CAP196679:CAP196680 CKL196679:CKL196680 CUH196679:CUH196680 DED196679:DED196680 DNZ196679:DNZ196680 DXV196679:DXV196680 EHR196679:EHR196680 ERN196679:ERN196680 FBJ196679:FBJ196680 FLF196679:FLF196680 FVB196679:FVB196680 GEX196679:GEX196680 GOT196679:GOT196680 GYP196679:GYP196680 HIL196679:HIL196680 HSH196679:HSH196680 ICD196679:ICD196680 ILZ196679:ILZ196680 IVV196679:IVV196680 JFR196679:JFR196680 JPN196679:JPN196680 JZJ196679:JZJ196680 KJF196679:KJF196680 KTB196679:KTB196680 LCX196679:LCX196680 LMT196679:LMT196680 LWP196679:LWP196680 MGL196679:MGL196680 MQH196679:MQH196680 NAD196679:NAD196680 NJZ196679:NJZ196680 NTV196679:NTV196680 ODR196679:ODR196680 ONN196679:ONN196680 OXJ196679:OXJ196680 PHF196679:PHF196680 PRB196679:PRB196680 QAX196679:QAX196680 QKT196679:QKT196680 QUP196679:QUP196680 REL196679:REL196680 ROH196679:ROH196680 RYD196679:RYD196680 SHZ196679:SHZ196680 SRV196679:SRV196680 TBR196679:TBR196680 TLN196679:TLN196680 TVJ196679:TVJ196680 UFF196679:UFF196680 UPB196679:UPB196680 UYX196679:UYX196680 VIT196679:VIT196680 VSP196679:VSP196680 WCL196679:WCL196680 WMH196679:WMH196680 WWD196679:WWD196680 V262215:V262216 JR262215:JR262216 TN262215:TN262216 ADJ262215:ADJ262216 ANF262215:ANF262216 AXB262215:AXB262216 BGX262215:BGX262216 BQT262215:BQT262216 CAP262215:CAP262216 CKL262215:CKL262216 CUH262215:CUH262216 DED262215:DED262216 DNZ262215:DNZ262216 DXV262215:DXV262216 EHR262215:EHR262216 ERN262215:ERN262216 FBJ262215:FBJ262216 FLF262215:FLF262216 FVB262215:FVB262216 GEX262215:GEX262216 GOT262215:GOT262216 GYP262215:GYP262216 HIL262215:HIL262216 HSH262215:HSH262216 ICD262215:ICD262216 ILZ262215:ILZ262216 IVV262215:IVV262216 JFR262215:JFR262216 JPN262215:JPN262216 JZJ262215:JZJ262216 KJF262215:KJF262216 KTB262215:KTB262216 LCX262215:LCX262216 LMT262215:LMT262216 LWP262215:LWP262216 MGL262215:MGL262216 MQH262215:MQH262216 NAD262215:NAD262216 NJZ262215:NJZ262216 NTV262215:NTV262216 ODR262215:ODR262216 ONN262215:ONN262216 OXJ262215:OXJ262216 PHF262215:PHF262216 PRB262215:PRB262216 QAX262215:QAX262216 QKT262215:QKT262216 QUP262215:QUP262216 REL262215:REL262216 ROH262215:ROH262216 RYD262215:RYD262216 SHZ262215:SHZ262216 SRV262215:SRV262216 TBR262215:TBR262216 TLN262215:TLN262216 TVJ262215:TVJ262216 UFF262215:UFF262216 UPB262215:UPB262216 UYX262215:UYX262216 VIT262215:VIT262216 VSP262215:VSP262216 WCL262215:WCL262216 WMH262215:WMH262216 WWD262215:WWD262216 V327751:V327752 JR327751:JR327752 TN327751:TN327752 ADJ327751:ADJ327752 ANF327751:ANF327752 AXB327751:AXB327752 BGX327751:BGX327752 BQT327751:BQT327752 CAP327751:CAP327752 CKL327751:CKL327752 CUH327751:CUH327752 DED327751:DED327752 DNZ327751:DNZ327752 DXV327751:DXV327752 EHR327751:EHR327752 ERN327751:ERN327752 FBJ327751:FBJ327752 FLF327751:FLF327752 FVB327751:FVB327752 GEX327751:GEX327752 GOT327751:GOT327752 GYP327751:GYP327752 HIL327751:HIL327752 HSH327751:HSH327752 ICD327751:ICD327752 ILZ327751:ILZ327752 IVV327751:IVV327752 JFR327751:JFR327752 JPN327751:JPN327752 JZJ327751:JZJ327752 KJF327751:KJF327752 KTB327751:KTB327752 LCX327751:LCX327752 LMT327751:LMT327752 LWP327751:LWP327752 MGL327751:MGL327752 MQH327751:MQH327752 NAD327751:NAD327752 NJZ327751:NJZ327752 NTV327751:NTV327752 ODR327751:ODR327752 ONN327751:ONN327752 OXJ327751:OXJ327752 PHF327751:PHF327752 PRB327751:PRB327752 QAX327751:QAX327752 QKT327751:QKT327752 QUP327751:QUP327752 REL327751:REL327752 ROH327751:ROH327752 RYD327751:RYD327752 SHZ327751:SHZ327752 SRV327751:SRV327752 TBR327751:TBR327752 TLN327751:TLN327752 TVJ327751:TVJ327752 UFF327751:UFF327752 UPB327751:UPB327752 UYX327751:UYX327752 VIT327751:VIT327752 VSP327751:VSP327752 WCL327751:WCL327752 WMH327751:WMH327752 WWD327751:WWD327752 V393287:V393288 JR393287:JR393288 TN393287:TN393288 ADJ393287:ADJ393288 ANF393287:ANF393288 AXB393287:AXB393288 BGX393287:BGX393288 BQT393287:BQT393288 CAP393287:CAP393288 CKL393287:CKL393288 CUH393287:CUH393288 DED393287:DED393288 DNZ393287:DNZ393288 DXV393287:DXV393288 EHR393287:EHR393288 ERN393287:ERN393288 FBJ393287:FBJ393288 FLF393287:FLF393288 FVB393287:FVB393288 GEX393287:GEX393288 GOT393287:GOT393288 GYP393287:GYP393288 HIL393287:HIL393288 HSH393287:HSH393288 ICD393287:ICD393288 ILZ393287:ILZ393288 IVV393287:IVV393288 JFR393287:JFR393288 JPN393287:JPN393288 JZJ393287:JZJ393288 KJF393287:KJF393288 KTB393287:KTB393288 LCX393287:LCX393288 LMT393287:LMT393288 LWP393287:LWP393288 MGL393287:MGL393288 MQH393287:MQH393288 NAD393287:NAD393288 NJZ393287:NJZ393288 NTV393287:NTV393288 ODR393287:ODR393288 ONN393287:ONN393288 OXJ393287:OXJ393288 PHF393287:PHF393288 PRB393287:PRB393288 QAX393287:QAX393288 QKT393287:QKT393288 QUP393287:QUP393288 REL393287:REL393288 ROH393287:ROH393288 RYD393287:RYD393288 SHZ393287:SHZ393288 SRV393287:SRV393288 TBR393287:TBR393288 TLN393287:TLN393288 TVJ393287:TVJ393288 UFF393287:UFF393288 UPB393287:UPB393288 UYX393287:UYX393288 VIT393287:VIT393288 VSP393287:VSP393288 WCL393287:WCL393288 WMH393287:WMH393288 WWD393287:WWD393288 V458823:V458824 JR458823:JR458824 TN458823:TN458824 ADJ458823:ADJ458824 ANF458823:ANF458824 AXB458823:AXB458824 BGX458823:BGX458824 BQT458823:BQT458824 CAP458823:CAP458824 CKL458823:CKL458824 CUH458823:CUH458824 DED458823:DED458824 DNZ458823:DNZ458824 DXV458823:DXV458824 EHR458823:EHR458824 ERN458823:ERN458824 FBJ458823:FBJ458824 FLF458823:FLF458824 FVB458823:FVB458824 GEX458823:GEX458824 GOT458823:GOT458824 GYP458823:GYP458824 HIL458823:HIL458824 HSH458823:HSH458824 ICD458823:ICD458824 ILZ458823:ILZ458824 IVV458823:IVV458824 JFR458823:JFR458824 JPN458823:JPN458824 JZJ458823:JZJ458824 KJF458823:KJF458824 KTB458823:KTB458824 LCX458823:LCX458824 LMT458823:LMT458824 LWP458823:LWP458824 MGL458823:MGL458824 MQH458823:MQH458824 NAD458823:NAD458824 NJZ458823:NJZ458824 NTV458823:NTV458824 ODR458823:ODR458824 ONN458823:ONN458824 OXJ458823:OXJ458824 PHF458823:PHF458824 PRB458823:PRB458824 QAX458823:QAX458824 QKT458823:QKT458824 QUP458823:QUP458824 REL458823:REL458824 ROH458823:ROH458824 RYD458823:RYD458824 SHZ458823:SHZ458824 SRV458823:SRV458824 TBR458823:TBR458824 TLN458823:TLN458824 TVJ458823:TVJ458824 UFF458823:UFF458824 UPB458823:UPB458824 UYX458823:UYX458824 VIT458823:VIT458824 VSP458823:VSP458824 WCL458823:WCL458824 WMH458823:WMH458824 WWD458823:WWD458824 V524359:V524360 JR524359:JR524360 TN524359:TN524360 ADJ524359:ADJ524360 ANF524359:ANF524360 AXB524359:AXB524360 BGX524359:BGX524360 BQT524359:BQT524360 CAP524359:CAP524360 CKL524359:CKL524360 CUH524359:CUH524360 DED524359:DED524360 DNZ524359:DNZ524360 DXV524359:DXV524360 EHR524359:EHR524360 ERN524359:ERN524360 FBJ524359:FBJ524360 FLF524359:FLF524360 FVB524359:FVB524360 GEX524359:GEX524360 GOT524359:GOT524360 GYP524359:GYP524360 HIL524359:HIL524360 HSH524359:HSH524360 ICD524359:ICD524360 ILZ524359:ILZ524360 IVV524359:IVV524360 JFR524359:JFR524360 JPN524359:JPN524360 JZJ524359:JZJ524360 KJF524359:KJF524360 KTB524359:KTB524360 LCX524359:LCX524360 LMT524359:LMT524360 LWP524359:LWP524360 MGL524359:MGL524360 MQH524359:MQH524360 NAD524359:NAD524360 NJZ524359:NJZ524360 NTV524359:NTV524360 ODR524359:ODR524360 ONN524359:ONN524360 OXJ524359:OXJ524360 PHF524359:PHF524360 PRB524359:PRB524360 QAX524359:QAX524360 QKT524359:QKT524360 QUP524359:QUP524360 REL524359:REL524360 ROH524359:ROH524360 RYD524359:RYD524360 SHZ524359:SHZ524360 SRV524359:SRV524360 TBR524359:TBR524360 TLN524359:TLN524360 TVJ524359:TVJ524360 UFF524359:UFF524360 UPB524359:UPB524360 UYX524359:UYX524360 VIT524359:VIT524360 VSP524359:VSP524360 WCL524359:WCL524360 WMH524359:WMH524360 WWD524359:WWD524360 V589895:V589896 JR589895:JR589896 TN589895:TN589896 ADJ589895:ADJ589896 ANF589895:ANF589896 AXB589895:AXB589896 BGX589895:BGX589896 BQT589895:BQT589896 CAP589895:CAP589896 CKL589895:CKL589896 CUH589895:CUH589896 DED589895:DED589896 DNZ589895:DNZ589896 DXV589895:DXV589896 EHR589895:EHR589896 ERN589895:ERN589896 FBJ589895:FBJ589896 FLF589895:FLF589896 FVB589895:FVB589896 GEX589895:GEX589896 GOT589895:GOT589896 GYP589895:GYP589896 HIL589895:HIL589896 HSH589895:HSH589896 ICD589895:ICD589896 ILZ589895:ILZ589896 IVV589895:IVV589896 JFR589895:JFR589896 JPN589895:JPN589896 JZJ589895:JZJ589896 KJF589895:KJF589896 KTB589895:KTB589896 LCX589895:LCX589896 LMT589895:LMT589896 LWP589895:LWP589896 MGL589895:MGL589896 MQH589895:MQH589896 NAD589895:NAD589896 NJZ589895:NJZ589896 NTV589895:NTV589896 ODR589895:ODR589896 ONN589895:ONN589896 OXJ589895:OXJ589896 PHF589895:PHF589896 PRB589895:PRB589896 QAX589895:QAX589896 QKT589895:QKT589896 QUP589895:QUP589896 REL589895:REL589896 ROH589895:ROH589896 RYD589895:RYD589896 SHZ589895:SHZ589896 SRV589895:SRV589896 TBR589895:TBR589896 TLN589895:TLN589896 TVJ589895:TVJ589896 UFF589895:UFF589896 UPB589895:UPB589896 UYX589895:UYX589896 VIT589895:VIT589896 VSP589895:VSP589896 WCL589895:WCL589896 WMH589895:WMH589896 WWD589895:WWD589896 V655431:V655432 JR655431:JR655432 TN655431:TN655432 ADJ655431:ADJ655432 ANF655431:ANF655432 AXB655431:AXB655432 BGX655431:BGX655432 BQT655431:BQT655432 CAP655431:CAP655432 CKL655431:CKL655432 CUH655431:CUH655432 DED655431:DED655432 DNZ655431:DNZ655432 DXV655431:DXV655432 EHR655431:EHR655432 ERN655431:ERN655432 FBJ655431:FBJ655432 FLF655431:FLF655432 FVB655431:FVB655432 GEX655431:GEX655432 GOT655431:GOT655432 GYP655431:GYP655432 HIL655431:HIL655432 HSH655431:HSH655432 ICD655431:ICD655432 ILZ655431:ILZ655432 IVV655431:IVV655432 JFR655431:JFR655432 JPN655431:JPN655432 JZJ655431:JZJ655432 KJF655431:KJF655432 KTB655431:KTB655432 LCX655431:LCX655432 LMT655431:LMT655432 LWP655431:LWP655432 MGL655431:MGL655432 MQH655431:MQH655432 NAD655431:NAD655432 NJZ655431:NJZ655432 NTV655431:NTV655432 ODR655431:ODR655432 ONN655431:ONN655432 OXJ655431:OXJ655432 PHF655431:PHF655432 PRB655431:PRB655432 QAX655431:QAX655432 QKT655431:QKT655432 QUP655431:QUP655432 REL655431:REL655432 ROH655431:ROH655432 RYD655431:RYD655432 SHZ655431:SHZ655432 SRV655431:SRV655432 TBR655431:TBR655432 TLN655431:TLN655432 TVJ655431:TVJ655432 UFF655431:UFF655432 UPB655431:UPB655432 UYX655431:UYX655432 VIT655431:VIT655432 VSP655431:VSP655432 WCL655431:WCL655432 WMH655431:WMH655432 WWD655431:WWD655432 V720967:V720968 JR720967:JR720968 TN720967:TN720968 ADJ720967:ADJ720968 ANF720967:ANF720968 AXB720967:AXB720968 BGX720967:BGX720968 BQT720967:BQT720968 CAP720967:CAP720968 CKL720967:CKL720968 CUH720967:CUH720968 DED720967:DED720968 DNZ720967:DNZ720968 DXV720967:DXV720968 EHR720967:EHR720968 ERN720967:ERN720968 FBJ720967:FBJ720968 FLF720967:FLF720968 FVB720967:FVB720968 GEX720967:GEX720968 GOT720967:GOT720968 GYP720967:GYP720968 HIL720967:HIL720968 HSH720967:HSH720968 ICD720967:ICD720968 ILZ720967:ILZ720968 IVV720967:IVV720968 JFR720967:JFR720968 JPN720967:JPN720968 JZJ720967:JZJ720968 KJF720967:KJF720968 KTB720967:KTB720968 LCX720967:LCX720968 LMT720967:LMT720968 LWP720967:LWP720968 MGL720967:MGL720968 MQH720967:MQH720968 NAD720967:NAD720968 NJZ720967:NJZ720968 NTV720967:NTV720968 ODR720967:ODR720968 ONN720967:ONN720968 OXJ720967:OXJ720968 PHF720967:PHF720968 PRB720967:PRB720968 QAX720967:QAX720968 QKT720967:QKT720968 QUP720967:QUP720968 REL720967:REL720968 ROH720967:ROH720968 RYD720967:RYD720968 SHZ720967:SHZ720968 SRV720967:SRV720968 TBR720967:TBR720968 TLN720967:TLN720968 TVJ720967:TVJ720968 UFF720967:UFF720968 UPB720967:UPB720968 UYX720967:UYX720968 VIT720967:VIT720968 VSP720967:VSP720968 WCL720967:WCL720968 WMH720967:WMH720968 WWD720967:WWD720968 V786503:V786504 JR786503:JR786504 TN786503:TN786504 ADJ786503:ADJ786504 ANF786503:ANF786504 AXB786503:AXB786504 BGX786503:BGX786504 BQT786503:BQT786504 CAP786503:CAP786504 CKL786503:CKL786504 CUH786503:CUH786504 DED786503:DED786504 DNZ786503:DNZ786504 DXV786503:DXV786504 EHR786503:EHR786504 ERN786503:ERN786504 FBJ786503:FBJ786504 FLF786503:FLF786504 FVB786503:FVB786504 GEX786503:GEX786504 GOT786503:GOT786504 GYP786503:GYP786504 HIL786503:HIL786504 HSH786503:HSH786504 ICD786503:ICD786504 ILZ786503:ILZ786504 IVV786503:IVV786504 JFR786503:JFR786504 JPN786503:JPN786504 JZJ786503:JZJ786504 KJF786503:KJF786504 KTB786503:KTB786504 LCX786503:LCX786504 LMT786503:LMT786504 LWP786503:LWP786504 MGL786503:MGL786504 MQH786503:MQH786504 NAD786503:NAD786504 NJZ786503:NJZ786504 NTV786503:NTV786504 ODR786503:ODR786504 ONN786503:ONN786504 OXJ786503:OXJ786504 PHF786503:PHF786504 PRB786503:PRB786504 QAX786503:QAX786504 QKT786503:QKT786504 QUP786503:QUP786504 REL786503:REL786504 ROH786503:ROH786504 RYD786503:RYD786504 SHZ786503:SHZ786504 SRV786503:SRV786504 TBR786503:TBR786504 TLN786503:TLN786504 TVJ786503:TVJ786504 UFF786503:UFF786504 UPB786503:UPB786504 UYX786503:UYX786504 VIT786503:VIT786504 VSP786503:VSP786504 WCL786503:WCL786504 WMH786503:WMH786504 WWD786503:WWD786504 V852039:V852040 JR852039:JR852040 TN852039:TN852040 ADJ852039:ADJ852040 ANF852039:ANF852040 AXB852039:AXB852040 BGX852039:BGX852040 BQT852039:BQT852040 CAP852039:CAP852040 CKL852039:CKL852040 CUH852039:CUH852040 DED852039:DED852040 DNZ852039:DNZ852040 DXV852039:DXV852040 EHR852039:EHR852040 ERN852039:ERN852040 FBJ852039:FBJ852040 FLF852039:FLF852040 FVB852039:FVB852040 GEX852039:GEX852040 GOT852039:GOT852040 GYP852039:GYP852040 HIL852039:HIL852040 HSH852039:HSH852040 ICD852039:ICD852040 ILZ852039:ILZ852040 IVV852039:IVV852040 JFR852039:JFR852040 JPN852039:JPN852040 JZJ852039:JZJ852040 KJF852039:KJF852040 KTB852039:KTB852040 LCX852039:LCX852040 LMT852039:LMT852040 LWP852039:LWP852040 MGL852039:MGL852040 MQH852039:MQH852040 NAD852039:NAD852040 NJZ852039:NJZ852040 NTV852039:NTV852040 ODR852039:ODR852040 ONN852039:ONN852040 OXJ852039:OXJ852040 PHF852039:PHF852040 PRB852039:PRB852040 QAX852039:QAX852040 QKT852039:QKT852040 QUP852039:QUP852040 REL852039:REL852040 ROH852039:ROH852040 RYD852039:RYD852040 SHZ852039:SHZ852040 SRV852039:SRV852040 TBR852039:TBR852040 TLN852039:TLN852040 TVJ852039:TVJ852040 UFF852039:UFF852040 UPB852039:UPB852040 UYX852039:UYX852040 VIT852039:VIT852040 VSP852039:VSP852040 WCL852039:WCL852040 WMH852039:WMH852040 WWD852039:WWD852040 V917575:V917576 JR917575:JR917576 TN917575:TN917576 ADJ917575:ADJ917576 ANF917575:ANF917576 AXB917575:AXB917576 BGX917575:BGX917576 BQT917575:BQT917576 CAP917575:CAP917576 CKL917575:CKL917576 CUH917575:CUH917576 DED917575:DED917576 DNZ917575:DNZ917576 DXV917575:DXV917576 EHR917575:EHR917576 ERN917575:ERN917576 FBJ917575:FBJ917576 FLF917575:FLF917576 FVB917575:FVB917576 GEX917575:GEX917576 GOT917575:GOT917576 GYP917575:GYP917576 HIL917575:HIL917576 HSH917575:HSH917576 ICD917575:ICD917576 ILZ917575:ILZ917576 IVV917575:IVV917576 JFR917575:JFR917576 JPN917575:JPN917576 JZJ917575:JZJ917576 KJF917575:KJF917576 KTB917575:KTB917576 LCX917575:LCX917576 LMT917575:LMT917576 LWP917575:LWP917576 MGL917575:MGL917576 MQH917575:MQH917576 NAD917575:NAD917576 NJZ917575:NJZ917576 NTV917575:NTV917576 ODR917575:ODR917576 ONN917575:ONN917576 OXJ917575:OXJ917576 PHF917575:PHF917576 PRB917575:PRB917576 QAX917575:QAX917576 QKT917575:QKT917576 QUP917575:QUP917576 REL917575:REL917576 ROH917575:ROH917576 RYD917575:RYD917576 SHZ917575:SHZ917576 SRV917575:SRV917576 TBR917575:TBR917576 TLN917575:TLN917576 TVJ917575:TVJ917576 UFF917575:UFF917576 UPB917575:UPB917576 UYX917575:UYX917576 VIT917575:VIT917576 VSP917575:VSP917576 WCL917575:WCL917576 WMH917575:WMH917576 WWD917575:WWD917576 V983111:V983112 JR983111:JR983112 TN983111:TN983112 ADJ983111:ADJ983112 ANF983111:ANF983112 AXB983111:AXB983112 BGX983111:BGX983112 BQT983111:BQT983112 CAP983111:CAP983112 CKL983111:CKL983112 CUH983111:CUH983112 DED983111:DED983112 DNZ983111:DNZ983112 DXV983111:DXV983112 EHR983111:EHR983112 ERN983111:ERN983112 FBJ983111:FBJ983112 FLF983111:FLF983112 FVB983111:FVB983112 GEX983111:GEX983112 GOT983111:GOT983112 GYP983111:GYP983112 HIL983111:HIL983112 HSH983111:HSH983112 ICD983111:ICD983112 ILZ983111:ILZ983112 IVV983111:IVV983112 JFR983111:JFR983112 JPN983111:JPN983112 JZJ983111:JZJ983112 KJF983111:KJF983112 KTB983111:KTB983112 LCX983111:LCX983112 LMT983111:LMT983112 LWP983111:LWP983112 MGL983111:MGL983112 MQH983111:MQH983112 NAD983111:NAD983112 NJZ983111:NJZ983112 NTV983111:NTV983112 ODR983111:ODR983112 ONN983111:ONN983112 OXJ983111:OXJ983112 PHF983111:PHF983112 PRB983111:PRB983112 QAX983111:QAX983112 QKT983111:QKT983112 QUP983111:QUP983112 REL983111:REL983112 ROH983111:ROH983112 RYD983111:RYD983112 SHZ983111:SHZ983112 SRV983111:SRV983112 TBR983111:TBR983112 TLN983111:TLN983112 TVJ983111:TVJ983112 UFF983111:UFF983112 UPB983111:UPB983112 UYX983111:UYX983112 VIT983111:VIT983112 VSP983111:VSP983112 WCL983111:WCL983112 WMH983111:WMH983112 WWD983111:WWD983112 RXO983143 V65610:V65616 JR65610:JR65616 TN65610:TN65616 ADJ65610:ADJ65616 ANF65610:ANF65616 AXB65610:AXB65616 BGX65610:BGX65616 BQT65610:BQT65616 CAP65610:CAP65616 CKL65610:CKL65616 CUH65610:CUH65616 DED65610:DED65616 DNZ65610:DNZ65616 DXV65610:DXV65616 EHR65610:EHR65616 ERN65610:ERN65616 FBJ65610:FBJ65616 FLF65610:FLF65616 FVB65610:FVB65616 GEX65610:GEX65616 GOT65610:GOT65616 GYP65610:GYP65616 HIL65610:HIL65616 HSH65610:HSH65616 ICD65610:ICD65616 ILZ65610:ILZ65616 IVV65610:IVV65616 JFR65610:JFR65616 JPN65610:JPN65616 JZJ65610:JZJ65616 KJF65610:KJF65616 KTB65610:KTB65616 LCX65610:LCX65616 LMT65610:LMT65616 LWP65610:LWP65616 MGL65610:MGL65616 MQH65610:MQH65616 NAD65610:NAD65616 NJZ65610:NJZ65616 NTV65610:NTV65616 ODR65610:ODR65616 ONN65610:ONN65616 OXJ65610:OXJ65616 PHF65610:PHF65616 PRB65610:PRB65616 QAX65610:QAX65616 QKT65610:QKT65616 QUP65610:QUP65616 REL65610:REL65616 ROH65610:ROH65616 RYD65610:RYD65616 SHZ65610:SHZ65616 SRV65610:SRV65616 TBR65610:TBR65616 TLN65610:TLN65616 TVJ65610:TVJ65616 UFF65610:UFF65616 UPB65610:UPB65616 UYX65610:UYX65616 VIT65610:VIT65616 VSP65610:VSP65616 WCL65610:WCL65616 WMH65610:WMH65616 WWD65610:WWD65616 V131146:V131152 JR131146:JR131152 TN131146:TN131152 ADJ131146:ADJ131152 ANF131146:ANF131152 AXB131146:AXB131152 BGX131146:BGX131152 BQT131146:BQT131152 CAP131146:CAP131152 CKL131146:CKL131152 CUH131146:CUH131152 DED131146:DED131152 DNZ131146:DNZ131152 DXV131146:DXV131152 EHR131146:EHR131152 ERN131146:ERN131152 FBJ131146:FBJ131152 FLF131146:FLF131152 FVB131146:FVB131152 GEX131146:GEX131152 GOT131146:GOT131152 GYP131146:GYP131152 HIL131146:HIL131152 HSH131146:HSH131152 ICD131146:ICD131152 ILZ131146:ILZ131152 IVV131146:IVV131152 JFR131146:JFR131152 JPN131146:JPN131152 JZJ131146:JZJ131152 KJF131146:KJF131152 KTB131146:KTB131152 LCX131146:LCX131152 LMT131146:LMT131152 LWP131146:LWP131152 MGL131146:MGL131152 MQH131146:MQH131152 NAD131146:NAD131152 NJZ131146:NJZ131152 NTV131146:NTV131152 ODR131146:ODR131152 ONN131146:ONN131152 OXJ131146:OXJ131152 PHF131146:PHF131152 PRB131146:PRB131152 QAX131146:QAX131152 QKT131146:QKT131152 QUP131146:QUP131152 REL131146:REL131152 ROH131146:ROH131152 RYD131146:RYD131152 SHZ131146:SHZ131152 SRV131146:SRV131152 TBR131146:TBR131152 TLN131146:TLN131152 TVJ131146:TVJ131152 UFF131146:UFF131152 UPB131146:UPB131152 UYX131146:UYX131152 VIT131146:VIT131152 VSP131146:VSP131152 WCL131146:WCL131152 WMH131146:WMH131152 WWD131146:WWD131152 V196682:V196688 JR196682:JR196688 TN196682:TN196688 ADJ196682:ADJ196688 ANF196682:ANF196688 AXB196682:AXB196688 BGX196682:BGX196688 BQT196682:BQT196688 CAP196682:CAP196688 CKL196682:CKL196688 CUH196682:CUH196688 DED196682:DED196688 DNZ196682:DNZ196688 DXV196682:DXV196688 EHR196682:EHR196688 ERN196682:ERN196688 FBJ196682:FBJ196688 FLF196682:FLF196688 FVB196682:FVB196688 GEX196682:GEX196688 GOT196682:GOT196688 GYP196682:GYP196688 HIL196682:HIL196688 HSH196682:HSH196688 ICD196682:ICD196688 ILZ196682:ILZ196688 IVV196682:IVV196688 JFR196682:JFR196688 JPN196682:JPN196688 JZJ196682:JZJ196688 KJF196682:KJF196688 KTB196682:KTB196688 LCX196682:LCX196688 LMT196682:LMT196688 LWP196682:LWP196688 MGL196682:MGL196688 MQH196682:MQH196688 NAD196682:NAD196688 NJZ196682:NJZ196688 NTV196682:NTV196688 ODR196682:ODR196688 ONN196682:ONN196688 OXJ196682:OXJ196688 PHF196682:PHF196688 PRB196682:PRB196688 QAX196682:QAX196688 QKT196682:QKT196688 QUP196682:QUP196688 REL196682:REL196688 ROH196682:ROH196688 RYD196682:RYD196688 SHZ196682:SHZ196688 SRV196682:SRV196688 TBR196682:TBR196688 TLN196682:TLN196688 TVJ196682:TVJ196688 UFF196682:UFF196688 UPB196682:UPB196688 UYX196682:UYX196688 VIT196682:VIT196688 VSP196682:VSP196688 WCL196682:WCL196688 WMH196682:WMH196688 WWD196682:WWD196688 V262218:V262224 JR262218:JR262224 TN262218:TN262224 ADJ262218:ADJ262224 ANF262218:ANF262224 AXB262218:AXB262224 BGX262218:BGX262224 BQT262218:BQT262224 CAP262218:CAP262224 CKL262218:CKL262224 CUH262218:CUH262224 DED262218:DED262224 DNZ262218:DNZ262224 DXV262218:DXV262224 EHR262218:EHR262224 ERN262218:ERN262224 FBJ262218:FBJ262224 FLF262218:FLF262224 FVB262218:FVB262224 GEX262218:GEX262224 GOT262218:GOT262224 GYP262218:GYP262224 HIL262218:HIL262224 HSH262218:HSH262224 ICD262218:ICD262224 ILZ262218:ILZ262224 IVV262218:IVV262224 JFR262218:JFR262224 JPN262218:JPN262224 JZJ262218:JZJ262224 KJF262218:KJF262224 KTB262218:KTB262224 LCX262218:LCX262224 LMT262218:LMT262224 LWP262218:LWP262224 MGL262218:MGL262224 MQH262218:MQH262224 NAD262218:NAD262224 NJZ262218:NJZ262224 NTV262218:NTV262224 ODR262218:ODR262224 ONN262218:ONN262224 OXJ262218:OXJ262224 PHF262218:PHF262224 PRB262218:PRB262224 QAX262218:QAX262224 QKT262218:QKT262224 QUP262218:QUP262224 REL262218:REL262224 ROH262218:ROH262224 RYD262218:RYD262224 SHZ262218:SHZ262224 SRV262218:SRV262224 TBR262218:TBR262224 TLN262218:TLN262224 TVJ262218:TVJ262224 UFF262218:UFF262224 UPB262218:UPB262224 UYX262218:UYX262224 VIT262218:VIT262224 VSP262218:VSP262224 WCL262218:WCL262224 WMH262218:WMH262224 WWD262218:WWD262224 V327754:V327760 JR327754:JR327760 TN327754:TN327760 ADJ327754:ADJ327760 ANF327754:ANF327760 AXB327754:AXB327760 BGX327754:BGX327760 BQT327754:BQT327760 CAP327754:CAP327760 CKL327754:CKL327760 CUH327754:CUH327760 DED327754:DED327760 DNZ327754:DNZ327760 DXV327754:DXV327760 EHR327754:EHR327760 ERN327754:ERN327760 FBJ327754:FBJ327760 FLF327754:FLF327760 FVB327754:FVB327760 GEX327754:GEX327760 GOT327754:GOT327760 GYP327754:GYP327760 HIL327754:HIL327760 HSH327754:HSH327760 ICD327754:ICD327760 ILZ327754:ILZ327760 IVV327754:IVV327760 JFR327754:JFR327760 JPN327754:JPN327760 JZJ327754:JZJ327760 KJF327754:KJF327760 KTB327754:KTB327760 LCX327754:LCX327760 LMT327754:LMT327760 LWP327754:LWP327760 MGL327754:MGL327760 MQH327754:MQH327760 NAD327754:NAD327760 NJZ327754:NJZ327760 NTV327754:NTV327760 ODR327754:ODR327760 ONN327754:ONN327760 OXJ327754:OXJ327760 PHF327754:PHF327760 PRB327754:PRB327760 QAX327754:QAX327760 QKT327754:QKT327760 QUP327754:QUP327760 REL327754:REL327760 ROH327754:ROH327760 RYD327754:RYD327760 SHZ327754:SHZ327760 SRV327754:SRV327760 TBR327754:TBR327760 TLN327754:TLN327760 TVJ327754:TVJ327760 UFF327754:UFF327760 UPB327754:UPB327760 UYX327754:UYX327760 VIT327754:VIT327760 VSP327754:VSP327760 WCL327754:WCL327760 WMH327754:WMH327760 WWD327754:WWD327760 V393290:V393296 JR393290:JR393296 TN393290:TN393296 ADJ393290:ADJ393296 ANF393290:ANF393296 AXB393290:AXB393296 BGX393290:BGX393296 BQT393290:BQT393296 CAP393290:CAP393296 CKL393290:CKL393296 CUH393290:CUH393296 DED393290:DED393296 DNZ393290:DNZ393296 DXV393290:DXV393296 EHR393290:EHR393296 ERN393290:ERN393296 FBJ393290:FBJ393296 FLF393290:FLF393296 FVB393290:FVB393296 GEX393290:GEX393296 GOT393290:GOT393296 GYP393290:GYP393296 HIL393290:HIL393296 HSH393290:HSH393296 ICD393290:ICD393296 ILZ393290:ILZ393296 IVV393290:IVV393296 JFR393290:JFR393296 JPN393290:JPN393296 JZJ393290:JZJ393296 KJF393290:KJF393296 KTB393290:KTB393296 LCX393290:LCX393296 LMT393290:LMT393296 LWP393290:LWP393296 MGL393290:MGL393296 MQH393290:MQH393296 NAD393290:NAD393296 NJZ393290:NJZ393296 NTV393290:NTV393296 ODR393290:ODR393296 ONN393290:ONN393296 OXJ393290:OXJ393296 PHF393290:PHF393296 PRB393290:PRB393296 QAX393290:QAX393296 QKT393290:QKT393296 QUP393290:QUP393296 REL393290:REL393296 ROH393290:ROH393296 RYD393290:RYD393296 SHZ393290:SHZ393296 SRV393290:SRV393296 TBR393290:TBR393296 TLN393290:TLN393296 TVJ393290:TVJ393296 UFF393290:UFF393296 UPB393290:UPB393296 UYX393290:UYX393296 VIT393290:VIT393296 VSP393290:VSP393296 WCL393290:WCL393296 WMH393290:WMH393296 WWD393290:WWD393296 V458826:V458832 JR458826:JR458832 TN458826:TN458832 ADJ458826:ADJ458832 ANF458826:ANF458832 AXB458826:AXB458832 BGX458826:BGX458832 BQT458826:BQT458832 CAP458826:CAP458832 CKL458826:CKL458832 CUH458826:CUH458832 DED458826:DED458832 DNZ458826:DNZ458832 DXV458826:DXV458832 EHR458826:EHR458832 ERN458826:ERN458832 FBJ458826:FBJ458832 FLF458826:FLF458832 FVB458826:FVB458832 GEX458826:GEX458832 GOT458826:GOT458832 GYP458826:GYP458832 HIL458826:HIL458832 HSH458826:HSH458832 ICD458826:ICD458832 ILZ458826:ILZ458832 IVV458826:IVV458832 JFR458826:JFR458832 JPN458826:JPN458832 JZJ458826:JZJ458832 KJF458826:KJF458832 KTB458826:KTB458832 LCX458826:LCX458832 LMT458826:LMT458832 LWP458826:LWP458832 MGL458826:MGL458832 MQH458826:MQH458832 NAD458826:NAD458832 NJZ458826:NJZ458832 NTV458826:NTV458832 ODR458826:ODR458832 ONN458826:ONN458832 OXJ458826:OXJ458832 PHF458826:PHF458832 PRB458826:PRB458832 QAX458826:QAX458832 QKT458826:QKT458832 QUP458826:QUP458832 REL458826:REL458832 ROH458826:ROH458832 RYD458826:RYD458832 SHZ458826:SHZ458832 SRV458826:SRV458832 TBR458826:TBR458832 TLN458826:TLN458832 TVJ458826:TVJ458832 UFF458826:UFF458832 UPB458826:UPB458832 UYX458826:UYX458832 VIT458826:VIT458832 VSP458826:VSP458832 WCL458826:WCL458832 WMH458826:WMH458832 WWD458826:WWD458832 V524362:V524368 JR524362:JR524368 TN524362:TN524368 ADJ524362:ADJ524368 ANF524362:ANF524368 AXB524362:AXB524368 BGX524362:BGX524368 BQT524362:BQT524368 CAP524362:CAP524368 CKL524362:CKL524368 CUH524362:CUH524368 DED524362:DED524368 DNZ524362:DNZ524368 DXV524362:DXV524368 EHR524362:EHR524368 ERN524362:ERN524368 FBJ524362:FBJ524368 FLF524362:FLF524368 FVB524362:FVB524368 GEX524362:GEX524368 GOT524362:GOT524368 GYP524362:GYP524368 HIL524362:HIL524368 HSH524362:HSH524368 ICD524362:ICD524368 ILZ524362:ILZ524368 IVV524362:IVV524368 JFR524362:JFR524368 JPN524362:JPN524368 JZJ524362:JZJ524368 KJF524362:KJF524368 KTB524362:KTB524368 LCX524362:LCX524368 LMT524362:LMT524368 LWP524362:LWP524368 MGL524362:MGL524368 MQH524362:MQH524368 NAD524362:NAD524368 NJZ524362:NJZ524368 NTV524362:NTV524368 ODR524362:ODR524368 ONN524362:ONN524368 OXJ524362:OXJ524368 PHF524362:PHF524368 PRB524362:PRB524368 QAX524362:QAX524368 QKT524362:QKT524368 QUP524362:QUP524368 REL524362:REL524368 ROH524362:ROH524368 RYD524362:RYD524368 SHZ524362:SHZ524368 SRV524362:SRV524368 TBR524362:TBR524368 TLN524362:TLN524368 TVJ524362:TVJ524368 UFF524362:UFF524368 UPB524362:UPB524368 UYX524362:UYX524368 VIT524362:VIT524368 VSP524362:VSP524368 WCL524362:WCL524368 WMH524362:WMH524368 WWD524362:WWD524368 V589898:V589904 JR589898:JR589904 TN589898:TN589904 ADJ589898:ADJ589904 ANF589898:ANF589904 AXB589898:AXB589904 BGX589898:BGX589904 BQT589898:BQT589904 CAP589898:CAP589904 CKL589898:CKL589904 CUH589898:CUH589904 DED589898:DED589904 DNZ589898:DNZ589904 DXV589898:DXV589904 EHR589898:EHR589904 ERN589898:ERN589904 FBJ589898:FBJ589904 FLF589898:FLF589904 FVB589898:FVB589904 GEX589898:GEX589904 GOT589898:GOT589904 GYP589898:GYP589904 HIL589898:HIL589904 HSH589898:HSH589904 ICD589898:ICD589904 ILZ589898:ILZ589904 IVV589898:IVV589904 JFR589898:JFR589904 JPN589898:JPN589904 JZJ589898:JZJ589904 KJF589898:KJF589904 KTB589898:KTB589904 LCX589898:LCX589904 LMT589898:LMT589904 LWP589898:LWP589904 MGL589898:MGL589904 MQH589898:MQH589904 NAD589898:NAD589904 NJZ589898:NJZ589904 NTV589898:NTV589904 ODR589898:ODR589904 ONN589898:ONN589904 OXJ589898:OXJ589904 PHF589898:PHF589904 PRB589898:PRB589904 QAX589898:QAX589904 QKT589898:QKT589904 QUP589898:QUP589904 REL589898:REL589904 ROH589898:ROH589904 RYD589898:RYD589904 SHZ589898:SHZ589904 SRV589898:SRV589904 TBR589898:TBR589904 TLN589898:TLN589904 TVJ589898:TVJ589904 UFF589898:UFF589904 UPB589898:UPB589904 UYX589898:UYX589904 VIT589898:VIT589904 VSP589898:VSP589904 WCL589898:WCL589904 WMH589898:WMH589904 WWD589898:WWD589904 V655434:V655440 JR655434:JR655440 TN655434:TN655440 ADJ655434:ADJ655440 ANF655434:ANF655440 AXB655434:AXB655440 BGX655434:BGX655440 BQT655434:BQT655440 CAP655434:CAP655440 CKL655434:CKL655440 CUH655434:CUH655440 DED655434:DED655440 DNZ655434:DNZ655440 DXV655434:DXV655440 EHR655434:EHR655440 ERN655434:ERN655440 FBJ655434:FBJ655440 FLF655434:FLF655440 FVB655434:FVB655440 GEX655434:GEX655440 GOT655434:GOT655440 GYP655434:GYP655440 HIL655434:HIL655440 HSH655434:HSH655440 ICD655434:ICD655440 ILZ655434:ILZ655440 IVV655434:IVV655440 JFR655434:JFR655440 JPN655434:JPN655440 JZJ655434:JZJ655440 KJF655434:KJF655440 KTB655434:KTB655440 LCX655434:LCX655440 LMT655434:LMT655440 LWP655434:LWP655440 MGL655434:MGL655440 MQH655434:MQH655440 NAD655434:NAD655440 NJZ655434:NJZ655440 NTV655434:NTV655440 ODR655434:ODR655440 ONN655434:ONN655440 OXJ655434:OXJ655440 PHF655434:PHF655440 PRB655434:PRB655440 QAX655434:QAX655440 QKT655434:QKT655440 QUP655434:QUP655440 REL655434:REL655440 ROH655434:ROH655440 RYD655434:RYD655440 SHZ655434:SHZ655440 SRV655434:SRV655440 TBR655434:TBR655440 TLN655434:TLN655440 TVJ655434:TVJ655440 UFF655434:UFF655440 UPB655434:UPB655440 UYX655434:UYX655440 VIT655434:VIT655440 VSP655434:VSP655440 WCL655434:WCL655440 WMH655434:WMH655440 WWD655434:WWD655440 V720970:V720976 JR720970:JR720976 TN720970:TN720976 ADJ720970:ADJ720976 ANF720970:ANF720976 AXB720970:AXB720976 BGX720970:BGX720976 BQT720970:BQT720976 CAP720970:CAP720976 CKL720970:CKL720976 CUH720970:CUH720976 DED720970:DED720976 DNZ720970:DNZ720976 DXV720970:DXV720976 EHR720970:EHR720976 ERN720970:ERN720976 FBJ720970:FBJ720976 FLF720970:FLF720976 FVB720970:FVB720976 GEX720970:GEX720976 GOT720970:GOT720976 GYP720970:GYP720976 HIL720970:HIL720976 HSH720970:HSH720976 ICD720970:ICD720976 ILZ720970:ILZ720976 IVV720970:IVV720976 JFR720970:JFR720976 JPN720970:JPN720976 JZJ720970:JZJ720976 KJF720970:KJF720976 KTB720970:KTB720976 LCX720970:LCX720976 LMT720970:LMT720976 LWP720970:LWP720976 MGL720970:MGL720976 MQH720970:MQH720976 NAD720970:NAD720976 NJZ720970:NJZ720976 NTV720970:NTV720976 ODR720970:ODR720976 ONN720970:ONN720976 OXJ720970:OXJ720976 PHF720970:PHF720976 PRB720970:PRB720976 QAX720970:QAX720976 QKT720970:QKT720976 QUP720970:QUP720976 REL720970:REL720976 ROH720970:ROH720976 RYD720970:RYD720976 SHZ720970:SHZ720976 SRV720970:SRV720976 TBR720970:TBR720976 TLN720970:TLN720976 TVJ720970:TVJ720976 UFF720970:UFF720976 UPB720970:UPB720976 UYX720970:UYX720976 VIT720970:VIT720976 VSP720970:VSP720976 WCL720970:WCL720976 WMH720970:WMH720976 WWD720970:WWD720976 V786506:V786512 JR786506:JR786512 TN786506:TN786512 ADJ786506:ADJ786512 ANF786506:ANF786512 AXB786506:AXB786512 BGX786506:BGX786512 BQT786506:BQT786512 CAP786506:CAP786512 CKL786506:CKL786512 CUH786506:CUH786512 DED786506:DED786512 DNZ786506:DNZ786512 DXV786506:DXV786512 EHR786506:EHR786512 ERN786506:ERN786512 FBJ786506:FBJ786512 FLF786506:FLF786512 FVB786506:FVB786512 GEX786506:GEX786512 GOT786506:GOT786512 GYP786506:GYP786512 HIL786506:HIL786512 HSH786506:HSH786512 ICD786506:ICD786512 ILZ786506:ILZ786512 IVV786506:IVV786512 JFR786506:JFR786512 JPN786506:JPN786512 JZJ786506:JZJ786512 KJF786506:KJF786512 KTB786506:KTB786512 LCX786506:LCX786512 LMT786506:LMT786512 LWP786506:LWP786512 MGL786506:MGL786512 MQH786506:MQH786512 NAD786506:NAD786512 NJZ786506:NJZ786512 NTV786506:NTV786512 ODR786506:ODR786512 ONN786506:ONN786512 OXJ786506:OXJ786512 PHF786506:PHF786512 PRB786506:PRB786512 QAX786506:QAX786512 QKT786506:QKT786512 QUP786506:QUP786512 REL786506:REL786512 ROH786506:ROH786512 RYD786506:RYD786512 SHZ786506:SHZ786512 SRV786506:SRV786512 TBR786506:TBR786512 TLN786506:TLN786512 TVJ786506:TVJ786512 UFF786506:UFF786512 UPB786506:UPB786512 UYX786506:UYX786512 VIT786506:VIT786512 VSP786506:VSP786512 WCL786506:WCL786512 WMH786506:WMH786512 WWD786506:WWD786512 V852042:V852048 JR852042:JR852048 TN852042:TN852048 ADJ852042:ADJ852048 ANF852042:ANF852048 AXB852042:AXB852048 BGX852042:BGX852048 BQT852042:BQT852048 CAP852042:CAP852048 CKL852042:CKL852048 CUH852042:CUH852048 DED852042:DED852048 DNZ852042:DNZ852048 DXV852042:DXV852048 EHR852042:EHR852048 ERN852042:ERN852048 FBJ852042:FBJ852048 FLF852042:FLF852048 FVB852042:FVB852048 GEX852042:GEX852048 GOT852042:GOT852048 GYP852042:GYP852048 HIL852042:HIL852048 HSH852042:HSH852048 ICD852042:ICD852048 ILZ852042:ILZ852048 IVV852042:IVV852048 JFR852042:JFR852048 JPN852042:JPN852048 JZJ852042:JZJ852048 KJF852042:KJF852048 KTB852042:KTB852048 LCX852042:LCX852048 LMT852042:LMT852048 LWP852042:LWP852048 MGL852042:MGL852048 MQH852042:MQH852048 NAD852042:NAD852048 NJZ852042:NJZ852048 NTV852042:NTV852048 ODR852042:ODR852048 ONN852042:ONN852048 OXJ852042:OXJ852048 PHF852042:PHF852048 PRB852042:PRB852048 QAX852042:QAX852048 QKT852042:QKT852048 QUP852042:QUP852048 REL852042:REL852048 ROH852042:ROH852048 RYD852042:RYD852048 SHZ852042:SHZ852048 SRV852042:SRV852048 TBR852042:TBR852048 TLN852042:TLN852048 TVJ852042:TVJ852048 UFF852042:UFF852048 UPB852042:UPB852048 UYX852042:UYX852048 VIT852042:VIT852048 VSP852042:VSP852048 WCL852042:WCL852048 WMH852042:WMH852048 WWD852042:WWD852048 V917578:V917584 JR917578:JR917584 TN917578:TN917584 ADJ917578:ADJ917584 ANF917578:ANF917584 AXB917578:AXB917584 BGX917578:BGX917584 BQT917578:BQT917584 CAP917578:CAP917584 CKL917578:CKL917584 CUH917578:CUH917584 DED917578:DED917584 DNZ917578:DNZ917584 DXV917578:DXV917584 EHR917578:EHR917584 ERN917578:ERN917584 FBJ917578:FBJ917584 FLF917578:FLF917584 FVB917578:FVB917584 GEX917578:GEX917584 GOT917578:GOT917584 GYP917578:GYP917584 HIL917578:HIL917584 HSH917578:HSH917584 ICD917578:ICD917584 ILZ917578:ILZ917584 IVV917578:IVV917584 JFR917578:JFR917584 JPN917578:JPN917584 JZJ917578:JZJ917584 KJF917578:KJF917584 KTB917578:KTB917584 LCX917578:LCX917584 LMT917578:LMT917584 LWP917578:LWP917584 MGL917578:MGL917584 MQH917578:MQH917584 NAD917578:NAD917584 NJZ917578:NJZ917584 NTV917578:NTV917584 ODR917578:ODR917584 ONN917578:ONN917584 OXJ917578:OXJ917584 PHF917578:PHF917584 PRB917578:PRB917584 QAX917578:QAX917584 QKT917578:QKT917584 QUP917578:QUP917584 REL917578:REL917584 ROH917578:ROH917584 RYD917578:RYD917584 SHZ917578:SHZ917584 SRV917578:SRV917584 TBR917578:TBR917584 TLN917578:TLN917584 TVJ917578:TVJ917584 UFF917578:UFF917584 UPB917578:UPB917584 UYX917578:UYX917584 VIT917578:VIT917584 VSP917578:VSP917584 WCL917578:WCL917584 WMH917578:WMH917584 WWD917578:WWD917584 V983114:V983120 JR983114:JR983120 TN983114:TN983120 ADJ983114:ADJ983120 ANF983114:ANF983120 AXB983114:AXB983120 BGX983114:BGX983120 BQT983114:BQT983120 CAP983114:CAP983120 CKL983114:CKL983120 CUH983114:CUH983120 DED983114:DED983120 DNZ983114:DNZ983120 DXV983114:DXV983120 EHR983114:EHR983120 ERN983114:ERN983120 FBJ983114:FBJ983120 FLF983114:FLF983120 FVB983114:FVB983120 GEX983114:GEX983120 GOT983114:GOT983120 GYP983114:GYP983120 HIL983114:HIL983120 HSH983114:HSH983120 ICD983114:ICD983120 ILZ983114:ILZ983120 IVV983114:IVV983120 JFR983114:JFR983120 JPN983114:JPN983120 JZJ983114:JZJ983120 KJF983114:KJF983120 KTB983114:KTB983120 LCX983114:LCX983120 LMT983114:LMT983120 LWP983114:LWP983120 MGL983114:MGL983120 MQH983114:MQH983120 NAD983114:NAD983120 NJZ983114:NJZ983120 NTV983114:NTV983120 ODR983114:ODR983120 ONN983114:ONN983120 OXJ983114:OXJ983120 PHF983114:PHF983120 PRB983114:PRB983120 QAX983114:QAX983120 QKT983114:QKT983120 QUP983114:QUP983120 REL983114:REL983120 ROH983114:ROH983120 RYD983114:RYD983120 SHZ983114:SHZ983120 SRV983114:SRV983120 TBR983114:TBR983120 TLN983114:TLN983120 TVJ983114:TVJ983120 UFF983114:UFF983120 UPB983114:UPB983120 UYX983114:UYX983120 VIT983114:VIT983120 VSP983114:VSP983120 WCL983114:WCL983120 WMH983114:WMH983120 WWD983114:WWD983120 ADC71:ADC77 JD79 SZ79 ACV79 AMR79 AWN79 BGJ79 BQF79 CAB79 CJX79 CTT79 DDP79 DNL79 DXH79 EHD79 EQZ79 FAV79 FKR79 FUN79 GEJ79 GOF79 GYB79 HHX79 HRT79 IBP79 ILL79 IVH79 JFD79 JOZ79 JYV79 KIR79 KSN79 LCJ79 LMF79 LWB79 MFX79 MPT79 MZP79 NJL79 NTH79 ODD79 OMZ79 OWV79 PGR79 PQN79 QAJ79 QKF79 QUB79 RDX79 RNT79 RXP79 SHL79 SRH79 TBD79 TKZ79 TUV79 UER79 UON79 UYJ79 VIF79 VSB79 WBX79 WLT79 WVP79 H65618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H131154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H196690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H262226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H327762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H393298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H458834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H524370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H589906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H655442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H720978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H786514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H852050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H917586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H983122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TG71:TG77 JD81:JD82 SZ81:SZ82 ACV81:ACV82 AMR81:AMR82 AWN81:AWN82 BGJ81:BGJ82 BQF81:BQF82 CAB81:CAB82 CJX81:CJX82 CTT81:CTT82 DDP81:DDP82 DNL81:DNL82 DXH81:DXH82 EHD81:EHD82 EQZ81:EQZ82 FAV81:FAV82 FKR81:FKR82 FUN81:FUN82 GEJ81:GEJ82 GOF81:GOF82 GYB81:GYB82 HHX81:HHX82 HRT81:HRT82 IBP81:IBP82 ILL81:ILL82 IVH81:IVH82 JFD81:JFD82 JOZ81:JOZ82 JYV81:JYV82 KIR81:KIR82 KSN81:KSN82 LCJ81:LCJ82 LMF81:LMF82 LWB81:LWB82 MFX81:MFX82 MPT81:MPT82 MZP81:MZP82 NJL81:NJL82 NTH81:NTH82 ODD81:ODD82 OMZ81:OMZ82 OWV81:OWV82 PGR81:PGR82 PQN81:PQN82 QAJ81:QAJ82 QKF81:QKF82 QUB81:QUB82 RDX81:RDX82 RNT81:RNT82 RXP81:RXP82 SHL81:SHL82 SRH81:SRH82 TBD81:TBD82 TKZ81:TKZ82 TUV81:TUV82 UER81:UER82 UON81:UON82 UYJ81:UYJ82 VIF81:VIF82 VSB81:VSB82 WBX81:WBX82 WLT81:WLT82 WVP81:WVP82 H65620:H65621 JD65620:JD65621 SZ65620:SZ65621 ACV65620:ACV65621 AMR65620:AMR65621 AWN65620:AWN65621 BGJ65620:BGJ65621 BQF65620:BQF65621 CAB65620:CAB65621 CJX65620:CJX65621 CTT65620:CTT65621 DDP65620:DDP65621 DNL65620:DNL65621 DXH65620:DXH65621 EHD65620:EHD65621 EQZ65620:EQZ65621 FAV65620:FAV65621 FKR65620:FKR65621 FUN65620:FUN65621 GEJ65620:GEJ65621 GOF65620:GOF65621 GYB65620:GYB65621 HHX65620:HHX65621 HRT65620:HRT65621 IBP65620:IBP65621 ILL65620:ILL65621 IVH65620:IVH65621 JFD65620:JFD65621 JOZ65620:JOZ65621 JYV65620:JYV65621 KIR65620:KIR65621 KSN65620:KSN65621 LCJ65620:LCJ65621 LMF65620:LMF65621 LWB65620:LWB65621 MFX65620:MFX65621 MPT65620:MPT65621 MZP65620:MZP65621 NJL65620:NJL65621 NTH65620:NTH65621 ODD65620:ODD65621 OMZ65620:OMZ65621 OWV65620:OWV65621 PGR65620:PGR65621 PQN65620:PQN65621 QAJ65620:QAJ65621 QKF65620:QKF65621 QUB65620:QUB65621 RDX65620:RDX65621 RNT65620:RNT65621 RXP65620:RXP65621 SHL65620:SHL65621 SRH65620:SRH65621 TBD65620:TBD65621 TKZ65620:TKZ65621 TUV65620:TUV65621 UER65620:UER65621 UON65620:UON65621 UYJ65620:UYJ65621 VIF65620:VIF65621 VSB65620:VSB65621 WBX65620:WBX65621 WLT65620:WLT65621 WVP65620:WVP65621 H131156:H131157 JD131156:JD131157 SZ131156:SZ131157 ACV131156:ACV131157 AMR131156:AMR131157 AWN131156:AWN131157 BGJ131156:BGJ131157 BQF131156:BQF131157 CAB131156:CAB131157 CJX131156:CJX131157 CTT131156:CTT131157 DDP131156:DDP131157 DNL131156:DNL131157 DXH131156:DXH131157 EHD131156:EHD131157 EQZ131156:EQZ131157 FAV131156:FAV131157 FKR131156:FKR131157 FUN131156:FUN131157 GEJ131156:GEJ131157 GOF131156:GOF131157 GYB131156:GYB131157 HHX131156:HHX131157 HRT131156:HRT131157 IBP131156:IBP131157 ILL131156:ILL131157 IVH131156:IVH131157 JFD131156:JFD131157 JOZ131156:JOZ131157 JYV131156:JYV131157 KIR131156:KIR131157 KSN131156:KSN131157 LCJ131156:LCJ131157 LMF131156:LMF131157 LWB131156:LWB131157 MFX131156:MFX131157 MPT131156:MPT131157 MZP131156:MZP131157 NJL131156:NJL131157 NTH131156:NTH131157 ODD131156:ODD131157 OMZ131156:OMZ131157 OWV131156:OWV131157 PGR131156:PGR131157 PQN131156:PQN131157 QAJ131156:QAJ131157 QKF131156:QKF131157 QUB131156:QUB131157 RDX131156:RDX131157 RNT131156:RNT131157 RXP131156:RXP131157 SHL131156:SHL131157 SRH131156:SRH131157 TBD131156:TBD131157 TKZ131156:TKZ131157 TUV131156:TUV131157 UER131156:UER131157 UON131156:UON131157 UYJ131156:UYJ131157 VIF131156:VIF131157 VSB131156:VSB131157 WBX131156:WBX131157 WLT131156:WLT131157 WVP131156:WVP131157 H196692:H196693 JD196692:JD196693 SZ196692:SZ196693 ACV196692:ACV196693 AMR196692:AMR196693 AWN196692:AWN196693 BGJ196692:BGJ196693 BQF196692:BQF196693 CAB196692:CAB196693 CJX196692:CJX196693 CTT196692:CTT196693 DDP196692:DDP196693 DNL196692:DNL196693 DXH196692:DXH196693 EHD196692:EHD196693 EQZ196692:EQZ196693 FAV196692:FAV196693 FKR196692:FKR196693 FUN196692:FUN196693 GEJ196692:GEJ196693 GOF196692:GOF196693 GYB196692:GYB196693 HHX196692:HHX196693 HRT196692:HRT196693 IBP196692:IBP196693 ILL196692:ILL196693 IVH196692:IVH196693 JFD196692:JFD196693 JOZ196692:JOZ196693 JYV196692:JYV196693 KIR196692:KIR196693 KSN196692:KSN196693 LCJ196692:LCJ196693 LMF196692:LMF196693 LWB196692:LWB196693 MFX196692:MFX196693 MPT196692:MPT196693 MZP196692:MZP196693 NJL196692:NJL196693 NTH196692:NTH196693 ODD196692:ODD196693 OMZ196692:OMZ196693 OWV196692:OWV196693 PGR196692:PGR196693 PQN196692:PQN196693 QAJ196692:QAJ196693 QKF196692:QKF196693 QUB196692:QUB196693 RDX196692:RDX196693 RNT196692:RNT196693 RXP196692:RXP196693 SHL196692:SHL196693 SRH196692:SRH196693 TBD196692:TBD196693 TKZ196692:TKZ196693 TUV196692:TUV196693 UER196692:UER196693 UON196692:UON196693 UYJ196692:UYJ196693 VIF196692:VIF196693 VSB196692:VSB196693 WBX196692:WBX196693 WLT196692:WLT196693 WVP196692:WVP196693 H262228:H262229 JD262228:JD262229 SZ262228:SZ262229 ACV262228:ACV262229 AMR262228:AMR262229 AWN262228:AWN262229 BGJ262228:BGJ262229 BQF262228:BQF262229 CAB262228:CAB262229 CJX262228:CJX262229 CTT262228:CTT262229 DDP262228:DDP262229 DNL262228:DNL262229 DXH262228:DXH262229 EHD262228:EHD262229 EQZ262228:EQZ262229 FAV262228:FAV262229 FKR262228:FKR262229 FUN262228:FUN262229 GEJ262228:GEJ262229 GOF262228:GOF262229 GYB262228:GYB262229 HHX262228:HHX262229 HRT262228:HRT262229 IBP262228:IBP262229 ILL262228:ILL262229 IVH262228:IVH262229 JFD262228:JFD262229 JOZ262228:JOZ262229 JYV262228:JYV262229 KIR262228:KIR262229 KSN262228:KSN262229 LCJ262228:LCJ262229 LMF262228:LMF262229 LWB262228:LWB262229 MFX262228:MFX262229 MPT262228:MPT262229 MZP262228:MZP262229 NJL262228:NJL262229 NTH262228:NTH262229 ODD262228:ODD262229 OMZ262228:OMZ262229 OWV262228:OWV262229 PGR262228:PGR262229 PQN262228:PQN262229 QAJ262228:QAJ262229 QKF262228:QKF262229 QUB262228:QUB262229 RDX262228:RDX262229 RNT262228:RNT262229 RXP262228:RXP262229 SHL262228:SHL262229 SRH262228:SRH262229 TBD262228:TBD262229 TKZ262228:TKZ262229 TUV262228:TUV262229 UER262228:UER262229 UON262228:UON262229 UYJ262228:UYJ262229 VIF262228:VIF262229 VSB262228:VSB262229 WBX262228:WBX262229 WLT262228:WLT262229 WVP262228:WVP262229 H327764:H327765 JD327764:JD327765 SZ327764:SZ327765 ACV327764:ACV327765 AMR327764:AMR327765 AWN327764:AWN327765 BGJ327764:BGJ327765 BQF327764:BQF327765 CAB327764:CAB327765 CJX327764:CJX327765 CTT327764:CTT327765 DDP327764:DDP327765 DNL327764:DNL327765 DXH327764:DXH327765 EHD327764:EHD327765 EQZ327764:EQZ327765 FAV327764:FAV327765 FKR327764:FKR327765 FUN327764:FUN327765 GEJ327764:GEJ327765 GOF327764:GOF327765 GYB327764:GYB327765 HHX327764:HHX327765 HRT327764:HRT327765 IBP327764:IBP327765 ILL327764:ILL327765 IVH327764:IVH327765 JFD327764:JFD327765 JOZ327764:JOZ327765 JYV327764:JYV327765 KIR327764:KIR327765 KSN327764:KSN327765 LCJ327764:LCJ327765 LMF327764:LMF327765 LWB327764:LWB327765 MFX327764:MFX327765 MPT327764:MPT327765 MZP327764:MZP327765 NJL327764:NJL327765 NTH327764:NTH327765 ODD327764:ODD327765 OMZ327764:OMZ327765 OWV327764:OWV327765 PGR327764:PGR327765 PQN327764:PQN327765 QAJ327764:QAJ327765 QKF327764:QKF327765 QUB327764:QUB327765 RDX327764:RDX327765 RNT327764:RNT327765 RXP327764:RXP327765 SHL327764:SHL327765 SRH327764:SRH327765 TBD327764:TBD327765 TKZ327764:TKZ327765 TUV327764:TUV327765 UER327764:UER327765 UON327764:UON327765 UYJ327764:UYJ327765 VIF327764:VIF327765 VSB327764:VSB327765 WBX327764:WBX327765 WLT327764:WLT327765 WVP327764:WVP327765 H393300:H393301 JD393300:JD393301 SZ393300:SZ393301 ACV393300:ACV393301 AMR393300:AMR393301 AWN393300:AWN393301 BGJ393300:BGJ393301 BQF393300:BQF393301 CAB393300:CAB393301 CJX393300:CJX393301 CTT393300:CTT393301 DDP393300:DDP393301 DNL393300:DNL393301 DXH393300:DXH393301 EHD393300:EHD393301 EQZ393300:EQZ393301 FAV393300:FAV393301 FKR393300:FKR393301 FUN393300:FUN393301 GEJ393300:GEJ393301 GOF393300:GOF393301 GYB393300:GYB393301 HHX393300:HHX393301 HRT393300:HRT393301 IBP393300:IBP393301 ILL393300:ILL393301 IVH393300:IVH393301 JFD393300:JFD393301 JOZ393300:JOZ393301 JYV393300:JYV393301 KIR393300:KIR393301 KSN393300:KSN393301 LCJ393300:LCJ393301 LMF393300:LMF393301 LWB393300:LWB393301 MFX393300:MFX393301 MPT393300:MPT393301 MZP393300:MZP393301 NJL393300:NJL393301 NTH393300:NTH393301 ODD393300:ODD393301 OMZ393300:OMZ393301 OWV393300:OWV393301 PGR393300:PGR393301 PQN393300:PQN393301 QAJ393300:QAJ393301 QKF393300:QKF393301 QUB393300:QUB393301 RDX393300:RDX393301 RNT393300:RNT393301 RXP393300:RXP393301 SHL393300:SHL393301 SRH393300:SRH393301 TBD393300:TBD393301 TKZ393300:TKZ393301 TUV393300:TUV393301 UER393300:UER393301 UON393300:UON393301 UYJ393300:UYJ393301 VIF393300:VIF393301 VSB393300:VSB393301 WBX393300:WBX393301 WLT393300:WLT393301 WVP393300:WVP393301 H458836:H458837 JD458836:JD458837 SZ458836:SZ458837 ACV458836:ACV458837 AMR458836:AMR458837 AWN458836:AWN458837 BGJ458836:BGJ458837 BQF458836:BQF458837 CAB458836:CAB458837 CJX458836:CJX458837 CTT458836:CTT458837 DDP458836:DDP458837 DNL458836:DNL458837 DXH458836:DXH458837 EHD458836:EHD458837 EQZ458836:EQZ458837 FAV458836:FAV458837 FKR458836:FKR458837 FUN458836:FUN458837 GEJ458836:GEJ458837 GOF458836:GOF458837 GYB458836:GYB458837 HHX458836:HHX458837 HRT458836:HRT458837 IBP458836:IBP458837 ILL458836:ILL458837 IVH458836:IVH458837 JFD458836:JFD458837 JOZ458836:JOZ458837 JYV458836:JYV458837 KIR458836:KIR458837 KSN458836:KSN458837 LCJ458836:LCJ458837 LMF458836:LMF458837 LWB458836:LWB458837 MFX458836:MFX458837 MPT458836:MPT458837 MZP458836:MZP458837 NJL458836:NJL458837 NTH458836:NTH458837 ODD458836:ODD458837 OMZ458836:OMZ458837 OWV458836:OWV458837 PGR458836:PGR458837 PQN458836:PQN458837 QAJ458836:QAJ458837 QKF458836:QKF458837 QUB458836:QUB458837 RDX458836:RDX458837 RNT458836:RNT458837 RXP458836:RXP458837 SHL458836:SHL458837 SRH458836:SRH458837 TBD458836:TBD458837 TKZ458836:TKZ458837 TUV458836:TUV458837 UER458836:UER458837 UON458836:UON458837 UYJ458836:UYJ458837 VIF458836:VIF458837 VSB458836:VSB458837 WBX458836:WBX458837 WLT458836:WLT458837 WVP458836:WVP458837 H524372:H524373 JD524372:JD524373 SZ524372:SZ524373 ACV524372:ACV524373 AMR524372:AMR524373 AWN524372:AWN524373 BGJ524372:BGJ524373 BQF524372:BQF524373 CAB524372:CAB524373 CJX524372:CJX524373 CTT524372:CTT524373 DDP524372:DDP524373 DNL524372:DNL524373 DXH524372:DXH524373 EHD524372:EHD524373 EQZ524372:EQZ524373 FAV524372:FAV524373 FKR524372:FKR524373 FUN524372:FUN524373 GEJ524372:GEJ524373 GOF524372:GOF524373 GYB524372:GYB524373 HHX524372:HHX524373 HRT524372:HRT524373 IBP524372:IBP524373 ILL524372:ILL524373 IVH524372:IVH524373 JFD524372:JFD524373 JOZ524372:JOZ524373 JYV524372:JYV524373 KIR524372:KIR524373 KSN524372:KSN524373 LCJ524372:LCJ524373 LMF524372:LMF524373 LWB524372:LWB524373 MFX524372:MFX524373 MPT524372:MPT524373 MZP524372:MZP524373 NJL524372:NJL524373 NTH524372:NTH524373 ODD524372:ODD524373 OMZ524372:OMZ524373 OWV524372:OWV524373 PGR524372:PGR524373 PQN524372:PQN524373 QAJ524372:QAJ524373 QKF524372:QKF524373 QUB524372:QUB524373 RDX524372:RDX524373 RNT524372:RNT524373 RXP524372:RXP524373 SHL524372:SHL524373 SRH524372:SRH524373 TBD524372:TBD524373 TKZ524372:TKZ524373 TUV524372:TUV524373 UER524372:UER524373 UON524372:UON524373 UYJ524372:UYJ524373 VIF524372:VIF524373 VSB524372:VSB524373 WBX524372:WBX524373 WLT524372:WLT524373 WVP524372:WVP524373 H589908:H589909 JD589908:JD589909 SZ589908:SZ589909 ACV589908:ACV589909 AMR589908:AMR589909 AWN589908:AWN589909 BGJ589908:BGJ589909 BQF589908:BQF589909 CAB589908:CAB589909 CJX589908:CJX589909 CTT589908:CTT589909 DDP589908:DDP589909 DNL589908:DNL589909 DXH589908:DXH589909 EHD589908:EHD589909 EQZ589908:EQZ589909 FAV589908:FAV589909 FKR589908:FKR589909 FUN589908:FUN589909 GEJ589908:GEJ589909 GOF589908:GOF589909 GYB589908:GYB589909 HHX589908:HHX589909 HRT589908:HRT589909 IBP589908:IBP589909 ILL589908:ILL589909 IVH589908:IVH589909 JFD589908:JFD589909 JOZ589908:JOZ589909 JYV589908:JYV589909 KIR589908:KIR589909 KSN589908:KSN589909 LCJ589908:LCJ589909 LMF589908:LMF589909 LWB589908:LWB589909 MFX589908:MFX589909 MPT589908:MPT589909 MZP589908:MZP589909 NJL589908:NJL589909 NTH589908:NTH589909 ODD589908:ODD589909 OMZ589908:OMZ589909 OWV589908:OWV589909 PGR589908:PGR589909 PQN589908:PQN589909 QAJ589908:QAJ589909 QKF589908:QKF589909 QUB589908:QUB589909 RDX589908:RDX589909 RNT589908:RNT589909 RXP589908:RXP589909 SHL589908:SHL589909 SRH589908:SRH589909 TBD589908:TBD589909 TKZ589908:TKZ589909 TUV589908:TUV589909 UER589908:UER589909 UON589908:UON589909 UYJ589908:UYJ589909 VIF589908:VIF589909 VSB589908:VSB589909 WBX589908:WBX589909 WLT589908:WLT589909 WVP589908:WVP589909 H655444:H655445 JD655444:JD655445 SZ655444:SZ655445 ACV655444:ACV655445 AMR655444:AMR655445 AWN655444:AWN655445 BGJ655444:BGJ655445 BQF655444:BQF655445 CAB655444:CAB655445 CJX655444:CJX655445 CTT655444:CTT655445 DDP655444:DDP655445 DNL655444:DNL655445 DXH655444:DXH655445 EHD655444:EHD655445 EQZ655444:EQZ655445 FAV655444:FAV655445 FKR655444:FKR655445 FUN655444:FUN655445 GEJ655444:GEJ655445 GOF655444:GOF655445 GYB655444:GYB655445 HHX655444:HHX655445 HRT655444:HRT655445 IBP655444:IBP655445 ILL655444:ILL655445 IVH655444:IVH655445 JFD655444:JFD655445 JOZ655444:JOZ655445 JYV655444:JYV655445 KIR655444:KIR655445 KSN655444:KSN655445 LCJ655444:LCJ655445 LMF655444:LMF655445 LWB655444:LWB655445 MFX655444:MFX655445 MPT655444:MPT655445 MZP655444:MZP655445 NJL655444:NJL655445 NTH655444:NTH655445 ODD655444:ODD655445 OMZ655444:OMZ655445 OWV655444:OWV655445 PGR655444:PGR655445 PQN655444:PQN655445 QAJ655444:QAJ655445 QKF655444:QKF655445 QUB655444:QUB655445 RDX655444:RDX655445 RNT655444:RNT655445 RXP655444:RXP655445 SHL655444:SHL655445 SRH655444:SRH655445 TBD655444:TBD655445 TKZ655444:TKZ655445 TUV655444:TUV655445 UER655444:UER655445 UON655444:UON655445 UYJ655444:UYJ655445 VIF655444:VIF655445 VSB655444:VSB655445 WBX655444:WBX655445 WLT655444:WLT655445 WVP655444:WVP655445 H720980:H720981 JD720980:JD720981 SZ720980:SZ720981 ACV720980:ACV720981 AMR720980:AMR720981 AWN720980:AWN720981 BGJ720980:BGJ720981 BQF720980:BQF720981 CAB720980:CAB720981 CJX720980:CJX720981 CTT720980:CTT720981 DDP720980:DDP720981 DNL720980:DNL720981 DXH720980:DXH720981 EHD720980:EHD720981 EQZ720980:EQZ720981 FAV720980:FAV720981 FKR720980:FKR720981 FUN720980:FUN720981 GEJ720980:GEJ720981 GOF720980:GOF720981 GYB720980:GYB720981 HHX720980:HHX720981 HRT720980:HRT720981 IBP720980:IBP720981 ILL720980:ILL720981 IVH720980:IVH720981 JFD720980:JFD720981 JOZ720980:JOZ720981 JYV720980:JYV720981 KIR720980:KIR720981 KSN720980:KSN720981 LCJ720980:LCJ720981 LMF720980:LMF720981 LWB720980:LWB720981 MFX720980:MFX720981 MPT720980:MPT720981 MZP720980:MZP720981 NJL720980:NJL720981 NTH720980:NTH720981 ODD720980:ODD720981 OMZ720980:OMZ720981 OWV720980:OWV720981 PGR720980:PGR720981 PQN720980:PQN720981 QAJ720980:QAJ720981 QKF720980:QKF720981 QUB720980:QUB720981 RDX720980:RDX720981 RNT720980:RNT720981 RXP720980:RXP720981 SHL720980:SHL720981 SRH720980:SRH720981 TBD720980:TBD720981 TKZ720980:TKZ720981 TUV720980:TUV720981 UER720980:UER720981 UON720980:UON720981 UYJ720980:UYJ720981 VIF720980:VIF720981 VSB720980:VSB720981 WBX720980:WBX720981 WLT720980:WLT720981 WVP720980:WVP720981 H786516:H786517 JD786516:JD786517 SZ786516:SZ786517 ACV786516:ACV786517 AMR786516:AMR786517 AWN786516:AWN786517 BGJ786516:BGJ786517 BQF786516:BQF786517 CAB786516:CAB786517 CJX786516:CJX786517 CTT786516:CTT786517 DDP786516:DDP786517 DNL786516:DNL786517 DXH786516:DXH786517 EHD786516:EHD786517 EQZ786516:EQZ786517 FAV786516:FAV786517 FKR786516:FKR786517 FUN786516:FUN786517 GEJ786516:GEJ786517 GOF786516:GOF786517 GYB786516:GYB786517 HHX786516:HHX786517 HRT786516:HRT786517 IBP786516:IBP786517 ILL786516:ILL786517 IVH786516:IVH786517 JFD786516:JFD786517 JOZ786516:JOZ786517 JYV786516:JYV786517 KIR786516:KIR786517 KSN786516:KSN786517 LCJ786516:LCJ786517 LMF786516:LMF786517 LWB786516:LWB786517 MFX786516:MFX786517 MPT786516:MPT786517 MZP786516:MZP786517 NJL786516:NJL786517 NTH786516:NTH786517 ODD786516:ODD786517 OMZ786516:OMZ786517 OWV786516:OWV786517 PGR786516:PGR786517 PQN786516:PQN786517 QAJ786516:QAJ786517 QKF786516:QKF786517 QUB786516:QUB786517 RDX786516:RDX786517 RNT786516:RNT786517 RXP786516:RXP786517 SHL786516:SHL786517 SRH786516:SRH786517 TBD786516:TBD786517 TKZ786516:TKZ786517 TUV786516:TUV786517 UER786516:UER786517 UON786516:UON786517 UYJ786516:UYJ786517 VIF786516:VIF786517 VSB786516:VSB786517 WBX786516:WBX786517 WLT786516:WLT786517 WVP786516:WVP786517 H852052:H852053 JD852052:JD852053 SZ852052:SZ852053 ACV852052:ACV852053 AMR852052:AMR852053 AWN852052:AWN852053 BGJ852052:BGJ852053 BQF852052:BQF852053 CAB852052:CAB852053 CJX852052:CJX852053 CTT852052:CTT852053 DDP852052:DDP852053 DNL852052:DNL852053 DXH852052:DXH852053 EHD852052:EHD852053 EQZ852052:EQZ852053 FAV852052:FAV852053 FKR852052:FKR852053 FUN852052:FUN852053 GEJ852052:GEJ852053 GOF852052:GOF852053 GYB852052:GYB852053 HHX852052:HHX852053 HRT852052:HRT852053 IBP852052:IBP852053 ILL852052:ILL852053 IVH852052:IVH852053 JFD852052:JFD852053 JOZ852052:JOZ852053 JYV852052:JYV852053 KIR852052:KIR852053 KSN852052:KSN852053 LCJ852052:LCJ852053 LMF852052:LMF852053 LWB852052:LWB852053 MFX852052:MFX852053 MPT852052:MPT852053 MZP852052:MZP852053 NJL852052:NJL852053 NTH852052:NTH852053 ODD852052:ODD852053 OMZ852052:OMZ852053 OWV852052:OWV852053 PGR852052:PGR852053 PQN852052:PQN852053 QAJ852052:QAJ852053 QKF852052:QKF852053 QUB852052:QUB852053 RDX852052:RDX852053 RNT852052:RNT852053 RXP852052:RXP852053 SHL852052:SHL852053 SRH852052:SRH852053 TBD852052:TBD852053 TKZ852052:TKZ852053 TUV852052:TUV852053 UER852052:UER852053 UON852052:UON852053 UYJ852052:UYJ852053 VIF852052:VIF852053 VSB852052:VSB852053 WBX852052:WBX852053 WLT852052:WLT852053 WVP852052:WVP852053 H917588:H917589 JD917588:JD917589 SZ917588:SZ917589 ACV917588:ACV917589 AMR917588:AMR917589 AWN917588:AWN917589 BGJ917588:BGJ917589 BQF917588:BQF917589 CAB917588:CAB917589 CJX917588:CJX917589 CTT917588:CTT917589 DDP917588:DDP917589 DNL917588:DNL917589 DXH917588:DXH917589 EHD917588:EHD917589 EQZ917588:EQZ917589 FAV917588:FAV917589 FKR917588:FKR917589 FUN917588:FUN917589 GEJ917588:GEJ917589 GOF917588:GOF917589 GYB917588:GYB917589 HHX917588:HHX917589 HRT917588:HRT917589 IBP917588:IBP917589 ILL917588:ILL917589 IVH917588:IVH917589 JFD917588:JFD917589 JOZ917588:JOZ917589 JYV917588:JYV917589 KIR917588:KIR917589 KSN917588:KSN917589 LCJ917588:LCJ917589 LMF917588:LMF917589 LWB917588:LWB917589 MFX917588:MFX917589 MPT917588:MPT917589 MZP917588:MZP917589 NJL917588:NJL917589 NTH917588:NTH917589 ODD917588:ODD917589 OMZ917588:OMZ917589 OWV917588:OWV917589 PGR917588:PGR917589 PQN917588:PQN917589 QAJ917588:QAJ917589 QKF917588:QKF917589 QUB917588:QUB917589 RDX917588:RDX917589 RNT917588:RNT917589 RXP917588:RXP917589 SHL917588:SHL917589 SRH917588:SRH917589 TBD917588:TBD917589 TKZ917588:TKZ917589 TUV917588:TUV917589 UER917588:UER917589 UON917588:UON917589 UYJ917588:UYJ917589 VIF917588:VIF917589 VSB917588:VSB917589 WBX917588:WBX917589 WLT917588:WLT917589 WVP917588:WVP917589 H983124:H983125 JD983124:JD983125 SZ983124:SZ983125 ACV983124:ACV983125 AMR983124:AMR983125 AWN983124:AWN983125 BGJ983124:BGJ983125 BQF983124:BQF983125 CAB983124:CAB983125 CJX983124:CJX983125 CTT983124:CTT983125 DDP983124:DDP983125 DNL983124:DNL983125 DXH983124:DXH983125 EHD983124:EHD983125 EQZ983124:EQZ983125 FAV983124:FAV983125 FKR983124:FKR983125 FUN983124:FUN983125 GEJ983124:GEJ983125 GOF983124:GOF983125 GYB983124:GYB983125 HHX983124:HHX983125 HRT983124:HRT983125 IBP983124:IBP983125 ILL983124:ILL983125 IVH983124:IVH983125 JFD983124:JFD983125 JOZ983124:JOZ983125 JYV983124:JYV983125 KIR983124:KIR983125 KSN983124:KSN983125 LCJ983124:LCJ983125 LMF983124:LMF983125 LWB983124:LWB983125 MFX983124:MFX983125 MPT983124:MPT983125 MZP983124:MZP983125 NJL983124:NJL983125 NTH983124:NTH983125 ODD983124:ODD983125 OMZ983124:OMZ983125 OWV983124:OWV983125 PGR983124:PGR983125 PQN983124:PQN983125 QAJ983124:QAJ983125 QKF983124:QKF983125 QUB983124:QUB983125 RDX983124:RDX983125 RNT983124:RNT983125 RXP983124:RXP983125 SHL983124:SHL983125 SRH983124:SRH983125 TBD983124:TBD983125 TKZ983124:TKZ983125 TUV983124:TUV983125 UER983124:UER983125 UON983124:UON983125 UYJ983124:UYJ983125 VIF983124:VIF983125 VSB983124:VSB983125 WBX983124:WBX983125 WLT983124:WLT983125 WVP983124:WVP983125 JK71:JK77 JD84:JD86 SZ84:SZ86 ACV84:ACV86 AMR84:AMR86 AWN84:AWN86 BGJ84:BGJ86 BQF84:BQF86 CAB84:CAB86 CJX84:CJX86 CTT84:CTT86 DDP84:DDP86 DNL84:DNL86 DXH84:DXH86 EHD84:EHD86 EQZ84:EQZ86 FAV84:FAV86 FKR84:FKR86 FUN84:FUN86 GEJ84:GEJ86 GOF84:GOF86 GYB84:GYB86 HHX84:HHX86 HRT84:HRT86 IBP84:IBP86 ILL84:ILL86 IVH84:IVH86 JFD84:JFD86 JOZ84:JOZ86 JYV84:JYV86 KIR84:KIR86 KSN84:KSN86 LCJ84:LCJ86 LMF84:LMF86 LWB84:LWB86 MFX84:MFX86 MPT84:MPT86 MZP84:MZP86 NJL84:NJL86 NTH84:NTH86 ODD84:ODD86 OMZ84:OMZ86 OWV84:OWV86 PGR84:PGR86 PQN84:PQN86 QAJ84:QAJ86 QKF84:QKF86 QUB84:QUB86 RDX84:RDX86 RNT84:RNT86 RXP84:RXP86 SHL84:SHL86 SRH84:SRH86 TBD84:TBD86 TKZ84:TKZ86 TUV84:TUV86 UER84:UER86 UON84:UON86 UYJ84:UYJ86 VIF84:VIF86 VSB84:VSB86 WBX84:WBX86 WLT84:WLT86 WVP84:WVP86 H65623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H131159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H196695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H262231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H327767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H393303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H458839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H524375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H589911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H655447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H720983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H786519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H852055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H917591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H983127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BGQ71:BGQ77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O65618 JK65618 TG65618 ADC65618 AMY65618 AWU65618 BGQ65618 BQM65618 CAI65618 CKE65618 CUA65618 DDW65618 DNS65618 DXO65618 EHK65618 ERG65618 FBC65618 FKY65618 FUU65618 GEQ65618 GOM65618 GYI65618 HIE65618 HSA65618 IBW65618 ILS65618 IVO65618 JFK65618 JPG65618 JZC65618 KIY65618 KSU65618 LCQ65618 LMM65618 LWI65618 MGE65618 MQA65618 MZW65618 NJS65618 NTO65618 ODK65618 ONG65618 OXC65618 PGY65618 PQU65618 QAQ65618 QKM65618 QUI65618 REE65618 ROA65618 RXW65618 SHS65618 SRO65618 TBK65618 TLG65618 TVC65618 UEY65618 UOU65618 UYQ65618 VIM65618 VSI65618 WCE65618 WMA65618 WVW65618 O131154 JK131154 TG131154 ADC131154 AMY131154 AWU131154 BGQ131154 BQM131154 CAI131154 CKE131154 CUA131154 DDW131154 DNS131154 DXO131154 EHK131154 ERG131154 FBC131154 FKY131154 FUU131154 GEQ131154 GOM131154 GYI131154 HIE131154 HSA131154 IBW131154 ILS131154 IVO131154 JFK131154 JPG131154 JZC131154 KIY131154 KSU131154 LCQ131154 LMM131154 LWI131154 MGE131154 MQA131154 MZW131154 NJS131154 NTO131154 ODK131154 ONG131154 OXC131154 PGY131154 PQU131154 QAQ131154 QKM131154 QUI131154 REE131154 ROA131154 RXW131154 SHS131154 SRO131154 TBK131154 TLG131154 TVC131154 UEY131154 UOU131154 UYQ131154 VIM131154 VSI131154 WCE131154 WMA131154 WVW131154 O196690 JK196690 TG196690 ADC196690 AMY196690 AWU196690 BGQ196690 BQM196690 CAI196690 CKE196690 CUA196690 DDW196690 DNS196690 DXO196690 EHK196690 ERG196690 FBC196690 FKY196690 FUU196690 GEQ196690 GOM196690 GYI196690 HIE196690 HSA196690 IBW196690 ILS196690 IVO196690 JFK196690 JPG196690 JZC196690 KIY196690 KSU196690 LCQ196690 LMM196690 LWI196690 MGE196690 MQA196690 MZW196690 NJS196690 NTO196690 ODK196690 ONG196690 OXC196690 PGY196690 PQU196690 QAQ196690 QKM196690 QUI196690 REE196690 ROA196690 RXW196690 SHS196690 SRO196690 TBK196690 TLG196690 TVC196690 UEY196690 UOU196690 UYQ196690 VIM196690 VSI196690 WCE196690 WMA196690 WVW196690 O262226 JK262226 TG262226 ADC262226 AMY262226 AWU262226 BGQ262226 BQM262226 CAI262226 CKE262226 CUA262226 DDW262226 DNS262226 DXO262226 EHK262226 ERG262226 FBC262226 FKY262226 FUU262226 GEQ262226 GOM262226 GYI262226 HIE262226 HSA262226 IBW262226 ILS262226 IVO262226 JFK262226 JPG262226 JZC262226 KIY262226 KSU262226 LCQ262226 LMM262226 LWI262226 MGE262226 MQA262226 MZW262226 NJS262226 NTO262226 ODK262226 ONG262226 OXC262226 PGY262226 PQU262226 QAQ262226 QKM262226 QUI262226 REE262226 ROA262226 RXW262226 SHS262226 SRO262226 TBK262226 TLG262226 TVC262226 UEY262226 UOU262226 UYQ262226 VIM262226 VSI262226 WCE262226 WMA262226 WVW262226 O327762 JK327762 TG327762 ADC327762 AMY327762 AWU327762 BGQ327762 BQM327762 CAI327762 CKE327762 CUA327762 DDW327762 DNS327762 DXO327762 EHK327762 ERG327762 FBC327762 FKY327762 FUU327762 GEQ327762 GOM327762 GYI327762 HIE327762 HSA327762 IBW327762 ILS327762 IVO327762 JFK327762 JPG327762 JZC327762 KIY327762 KSU327762 LCQ327762 LMM327762 LWI327762 MGE327762 MQA327762 MZW327762 NJS327762 NTO327762 ODK327762 ONG327762 OXC327762 PGY327762 PQU327762 QAQ327762 QKM327762 QUI327762 REE327762 ROA327762 RXW327762 SHS327762 SRO327762 TBK327762 TLG327762 TVC327762 UEY327762 UOU327762 UYQ327762 VIM327762 VSI327762 WCE327762 WMA327762 WVW327762 O393298 JK393298 TG393298 ADC393298 AMY393298 AWU393298 BGQ393298 BQM393298 CAI393298 CKE393298 CUA393298 DDW393298 DNS393298 DXO393298 EHK393298 ERG393298 FBC393298 FKY393298 FUU393298 GEQ393298 GOM393298 GYI393298 HIE393298 HSA393298 IBW393298 ILS393298 IVO393298 JFK393298 JPG393298 JZC393298 KIY393298 KSU393298 LCQ393298 LMM393298 LWI393298 MGE393298 MQA393298 MZW393298 NJS393298 NTO393298 ODK393298 ONG393298 OXC393298 PGY393298 PQU393298 QAQ393298 QKM393298 QUI393298 REE393298 ROA393298 RXW393298 SHS393298 SRO393298 TBK393298 TLG393298 TVC393298 UEY393298 UOU393298 UYQ393298 VIM393298 VSI393298 WCE393298 WMA393298 WVW393298 O458834 JK458834 TG458834 ADC458834 AMY458834 AWU458834 BGQ458834 BQM458834 CAI458834 CKE458834 CUA458834 DDW458834 DNS458834 DXO458834 EHK458834 ERG458834 FBC458834 FKY458834 FUU458834 GEQ458834 GOM458834 GYI458834 HIE458834 HSA458834 IBW458834 ILS458834 IVO458834 JFK458834 JPG458834 JZC458834 KIY458834 KSU458834 LCQ458834 LMM458834 LWI458834 MGE458834 MQA458834 MZW458834 NJS458834 NTO458834 ODK458834 ONG458834 OXC458834 PGY458834 PQU458834 QAQ458834 QKM458834 QUI458834 REE458834 ROA458834 RXW458834 SHS458834 SRO458834 TBK458834 TLG458834 TVC458834 UEY458834 UOU458834 UYQ458834 VIM458834 VSI458834 WCE458834 WMA458834 WVW458834 O524370 JK524370 TG524370 ADC524370 AMY524370 AWU524370 BGQ524370 BQM524370 CAI524370 CKE524370 CUA524370 DDW524370 DNS524370 DXO524370 EHK524370 ERG524370 FBC524370 FKY524370 FUU524370 GEQ524370 GOM524370 GYI524370 HIE524370 HSA524370 IBW524370 ILS524370 IVO524370 JFK524370 JPG524370 JZC524370 KIY524370 KSU524370 LCQ524370 LMM524370 LWI524370 MGE524370 MQA524370 MZW524370 NJS524370 NTO524370 ODK524370 ONG524370 OXC524370 PGY524370 PQU524370 QAQ524370 QKM524370 QUI524370 REE524370 ROA524370 RXW524370 SHS524370 SRO524370 TBK524370 TLG524370 TVC524370 UEY524370 UOU524370 UYQ524370 VIM524370 VSI524370 WCE524370 WMA524370 WVW524370 O589906 JK589906 TG589906 ADC589906 AMY589906 AWU589906 BGQ589906 BQM589906 CAI589906 CKE589906 CUA589906 DDW589906 DNS589906 DXO589906 EHK589906 ERG589906 FBC589906 FKY589906 FUU589906 GEQ589906 GOM589906 GYI589906 HIE589906 HSA589906 IBW589906 ILS589906 IVO589906 JFK589906 JPG589906 JZC589906 KIY589906 KSU589906 LCQ589906 LMM589906 LWI589906 MGE589906 MQA589906 MZW589906 NJS589906 NTO589906 ODK589906 ONG589906 OXC589906 PGY589906 PQU589906 QAQ589906 QKM589906 QUI589906 REE589906 ROA589906 RXW589906 SHS589906 SRO589906 TBK589906 TLG589906 TVC589906 UEY589906 UOU589906 UYQ589906 VIM589906 VSI589906 WCE589906 WMA589906 WVW589906 O655442 JK655442 TG655442 ADC655442 AMY655442 AWU655442 BGQ655442 BQM655442 CAI655442 CKE655442 CUA655442 DDW655442 DNS655442 DXO655442 EHK655442 ERG655442 FBC655442 FKY655442 FUU655442 GEQ655442 GOM655442 GYI655442 HIE655442 HSA655442 IBW655442 ILS655442 IVO655442 JFK655442 JPG655442 JZC655442 KIY655442 KSU655442 LCQ655442 LMM655442 LWI655442 MGE655442 MQA655442 MZW655442 NJS655442 NTO655442 ODK655442 ONG655442 OXC655442 PGY655442 PQU655442 QAQ655442 QKM655442 QUI655442 REE655442 ROA655442 RXW655442 SHS655442 SRO655442 TBK655442 TLG655442 TVC655442 UEY655442 UOU655442 UYQ655442 VIM655442 VSI655442 WCE655442 WMA655442 WVW655442 O720978 JK720978 TG720978 ADC720978 AMY720978 AWU720978 BGQ720978 BQM720978 CAI720978 CKE720978 CUA720978 DDW720978 DNS720978 DXO720978 EHK720978 ERG720978 FBC720978 FKY720978 FUU720978 GEQ720978 GOM720978 GYI720978 HIE720978 HSA720978 IBW720978 ILS720978 IVO720978 JFK720978 JPG720978 JZC720978 KIY720978 KSU720978 LCQ720978 LMM720978 LWI720978 MGE720978 MQA720978 MZW720978 NJS720978 NTO720978 ODK720978 ONG720978 OXC720978 PGY720978 PQU720978 QAQ720978 QKM720978 QUI720978 REE720978 ROA720978 RXW720978 SHS720978 SRO720978 TBK720978 TLG720978 TVC720978 UEY720978 UOU720978 UYQ720978 VIM720978 VSI720978 WCE720978 WMA720978 WVW720978 O786514 JK786514 TG786514 ADC786514 AMY786514 AWU786514 BGQ786514 BQM786514 CAI786514 CKE786514 CUA786514 DDW786514 DNS786514 DXO786514 EHK786514 ERG786514 FBC786514 FKY786514 FUU786514 GEQ786514 GOM786514 GYI786514 HIE786514 HSA786514 IBW786514 ILS786514 IVO786514 JFK786514 JPG786514 JZC786514 KIY786514 KSU786514 LCQ786514 LMM786514 LWI786514 MGE786514 MQA786514 MZW786514 NJS786514 NTO786514 ODK786514 ONG786514 OXC786514 PGY786514 PQU786514 QAQ786514 QKM786514 QUI786514 REE786514 ROA786514 RXW786514 SHS786514 SRO786514 TBK786514 TLG786514 TVC786514 UEY786514 UOU786514 UYQ786514 VIM786514 VSI786514 WCE786514 WMA786514 WVW786514 O852050 JK852050 TG852050 ADC852050 AMY852050 AWU852050 BGQ852050 BQM852050 CAI852050 CKE852050 CUA852050 DDW852050 DNS852050 DXO852050 EHK852050 ERG852050 FBC852050 FKY852050 FUU852050 GEQ852050 GOM852050 GYI852050 HIE852050 HSA852050 IBW852050 ILS852050 IVO852050 JFK852050 JPG852050 JZC852050 KIY852050 KSU852050 LCQ852050 LMM852050 LWI852050 MGE852050 MQA852050 MZW852050 NJS852050 NTO852050 ODK852050 ONG852050 OXC852050 PGY852050 PQU852050 QAQ852050 QKM852050 QUI852050 REE852050 ROA852050 RXW852050 SHS852050 SRO852050 TBK852050 TLG852050 TVC852050 UEY852050 UOU852050 UYQ852050 VIM852050 VSI852050 WCE852050 WMA852050 WVW852050 O917586 JK917586 TG917586 ADC917586 AMY917586 AWU917586 BGQ917586 BQM917586 CAI917586 CKE917586 CUA917586 DDW917586 DNS917586 DXO917586 EHK917586 ERG917586 FBC917586 FKY917586 FUU917586 GEQ917586 GOM917586 GYI917586 HIE917586 HSA917586 IBW917586 ILS917586 IVO917586 JFK917586 JPG917586 JZC917586 KIY917586 KSU917586 LCQ917586 LMM917586 LWI917586 MGE917586 MQA917586 MZW917586 NJS917586 NTO917586 ODK917586 ONG917586 OXC917586 PGY917586 PQU917586 QAQ917586 QKM917586 QUI917586 REE917586 ROA917586 RXW917586 SHS917586 SRO917586 TBK917586 TLG917586 TVC917586 UEY917586 UOU917586 UYQ917586 VIM917586 VSI917586 WCE917586 WMA917586 WVW917586 O983122 JK983122 TG983122 ADC983122 AMY983122 AWU983122 BGQ983122 BQM983122 CAI983122 CKE983122 CUA983122 DDW983122 DNS983122 DXO983122 EHK983122 ERG983122 FBC983122 FKY983122 FUU983122 GEQ983122 GOM983122 GYI983122 HIE983122 HSA983122 IBW983122 ILS983122 IVO983122 JFK983122 JPG983122 JZC983122 KIY983122 KSU983122 LCQ983122 LMM983122 LWI983122 MGE983122 MQA983122 MZW983122 NJS983122 NTO983122 ODK983122 ONG983122 OXC983122 PGY983122 PQU983122 QAQ983122 QKM983122 QUI983122 REE983122 ROA983122 RXW983122 SHS983122 SRO983122 TBK983122 TLG983122 TVC983122 UEY983122 UOU983122 UYQ983122 VIM983122 VSI983122 WCE983122 WMA983122 WVW983122 AWU71:AWU77 JK81:JK82 TG81:TG82 ADC81:ADC82 AMY81:AMY82 AWU81:AWU82 BGQ81:BGQ82 BQM81:BQM82 CAI81:CAI82 CKE81:CKE82 CUA81:CUA82 DDW81:DDW82 DNS81:DNS82 DXO81:DXO82 EHK81:EHK82 ERG81:ERG82 FBC81:FBC82 FKY81:FKY82 FUU81:FUU82 GEQ81:GEQ82 GOM81:GOM82 GYI81:GYI82 HIE81:HIE82 HSA81:HSA82 IBW81:IBW82 ILS81:ILS82 IVO81:IVO82 JFK81:JFK82 JPG81:JPG82 JZC81:JZC82 KIY81:KIY82 KSU81:KSU82 LCQ81:LCQ82 LMM81:LMM82 LWI81:LWI82 MGE81:MGE82 MQA81:MQA82 MZW81:MZW82 NJS81:NJS82 NTO81:NTO82 ODK81:ODK82 ONG81:ONG82 OXC81:OXC82 PGY81:PGY82 PQU81:PQU82 QAQ81:QAQ82 QKM81:QKM82 QUI81:QUI82 REE81:REE82 ROA81:ROA82 RXW81:RXW82 SHS81:SHS82 SRO81:SRO82 TBK81:TBK82 TLG81:TLG82 TVC81:TVC82 UEY81:UEY82 UOU81:UOU82 UYQ81:UYQ82 VIM81:VIM82 VSI81:VSI82 WCE81:WCE82 WMA81:WMA82 WVW81:WVW82 O65620:O65621 JK65620:JK65621 TG65620:TG65621 ADC65620:ADC65621 AMY65620:AMY65621 AWU65620:AWU65621 BGQ65620:BGQ65621 BQM65620:BQM65621 CAI65620:CAI65621 CKE65620:CKE65621 CUA65620:CUA65621 DDW65620:DDW65621 DNS65620:DNS65621 DXO65620:DXO65621 EHK65620:EHK65621 ERG65620:ERG65621 FBC65620:FBC65621 FKY65620:FKY65621 FUU65620:FUU65621 GEQ65620:GEQ65621 GOM65620:GOM65621 GYI65620:GYI65621 HIE65620:HIE65621 HSA65620:HSA65621 IBW65620:IBW65621 ILS65620:ILS65621 IVO65620:IVO65621 JFK65620:JFK65621 JPG65620:JPG65621 JZC65620:JZC65621 KIY65620:KIY65621 KSU65620:KSU65621 LCQ65620:LCQ65621 LMM65620:LMM65621 LWI65620:LWI65621 MGE65620:MGE65621 MQA65620:MQA65621 MZW65620:MZW65621 NJS65620:NJS65621 NTO65620:NTO65621 ODK65620:ODK65621 ONG65620:ONG65621 OXC65620:OXC65621 PGY65620:PGY65621 PQU65620:PQU65621 QAQ65620:QAQ65621 QKM65620:QKM65621 QUI65620:QUI65621 REE65620:REE65621 ROA65620:ROA65621 RXW65620:RXW65621 SHS65620:SHS65621 SRO65620:SRO65621 TBK65620:TBK65621 TLG65620:TLG65621 TVC65620:TVC65621 UEY65620:UEY65621 UOU65620:UOU65621 UYQ65620:UYQ65621 VIM65620:VIM65621 VSI65620:VSI65621 WCE65620:WCE65621 WMA65620:WMA65621 WVW65620:WVW65621 O131156:O131157 JK131156:JK131157 TG131156:TG131157 ADC131156:ADC131157 AMY131156:AMY131157 AWU131156:AWU131157 BGQ131156:BGQ131157 BQM131156:BQM131157 CAI131156:CAI131157 CKE131156:CKE131157 CUA131156:CUA131157 DDW131156:DDW131157 DNS131156:DNS131157 DXO131156:DXO131157 EHK131156:EHK131157 ERG131156:ERG131157 FBC131156:FBC131157 FKY131156:FKY131157 FUU131156:FUU131157 GEQ131156:GEQ131157 GOM131156:GOM131157 GYI131156:GYI131157 HIE131156:HIE131157 HSA131156:HSA131157 IBW131156:IBW131157 ILS131156:ILS131157 IVO131156:IVO131157 JFK131156:JFK131157 JPG131156:JPG131157 JZC131156:JZC131157 KIY131156:KIY131157 KSU131156:KSU131157 LCQ131156:LCQ131157 LMM131156:LMM131157 LWI131156:LWI131157 MGE131156:MGE131157 MQA131156:MQA131157 MZW131156:MZW131157 NJS131156:NJS131157 NTO131156:NTO131157 ODK131156:ODK131157 ONG131156:ONG131157 OXC131156:OXC131157 PGY131156:PGY131157 PQU131156:PQU131157 QAQ131156:QAQ131157 QKM131156:QKM131157 QUI131156:QUI131157 REE131156:REE131157 ROA131156:ROA131157 RXW131156:RXW131157 SHS131156:SHS131157 SRO131156:SRO131157 TBK131156:TBK131157 TLG131156:TLG131157 TVC131156:TVC131157 UEY131156:UEY131157 UOU131156:UOU131157 UYQ131156:UYQ131157 VIM131156:VIM131157 VSI131156:VSI131157 WCE131156:WCE131157 WMA131156:WMA131157 WVW131156:WVW131157 O196692:O196693 JK196692:JK196693 TG196692:TG196693 ADC196692:ADC196693 AMY196692:AMY196693 AWU196692:AWU196693 BGQ196692:BGQ196693 BQM196692:BQM196693 CAI196692:CAI196693 CKE196692:CKE196693 CUA196692:CUA196693 DDW196692:DDW196693 DNS196692:DNS196693 DXO196692:DXO196693 EHK196692:EHK196693 ERG196692:ERG196693 FBC196692:FBC196693 FKY196692:FKY196693 FUU196692:FUU196693 GEQ196692:GEQ196693 GOM196692:GOM196693 GYI196692:GYI196693 HIE196692:HIE196693 HSA196692:HSA196693 IBW196692:IBW196693 ILS196692:ILS196693 IVO196692:IVO196693 JFK196692:JFK196693 JPG196692:JPG196693 JZC196692:JZC196693 KIY196692:KIY196693 KSU196692:KSU196693 LCQ196692:LCQ196693 LMM196692:LMM196693 LWI196692:LWI196693 MGE196692:MGE196693 MQA196692:MQA196693 MZW196692:MZW196693 NJS196692:NJS196693 NTO196692:NTO196693 ODK196692:ODK196693 ONG196692:ONG196693 OXC196692:OXC196693 PGY196692:PGY196693 PQU196692:PQU196693 QAQ196692:QAQ196693 QKM196692:QKM196693 QUI196692:QUI196693 REE196692:REE196693 ROA196692:ROA196693 RXW196692:RXW196693 SHS196692:SHS196693 SRO196692:SRO196693 TBK196692:TBK196693 TLG196692:TLG196693 TVC196692:TVC196693 UEY196692:UEY196693 UOU196692:UOU196693 UYQ196692:UYQ196693 VIM196692:VIM196693 VSI196692:VSI196693 WCE196692:WCE196693 WMA196692:WMA196693 WVW196692:WVW196693 O262228:O262229 JK262228:JK262229 TG262228:TG262229 ADC262228:ADC262229 AMY262228:AMY262229 AWU262228:AWU262229 BGQ262228:BGQ262229 BQM262228:BQM262229 CAI262228:CAI262229 CKE262228:CKE262229 CUA262228:CUA262229 DDW262228:DDW262229 DNS262228:DNS262229 DXO262228:DXO262229 EHK262228:EHK262229 ERG262228:ERG262229 FBC262228:FBC262229 FKY262228:FKY262229 FUU262228:FUU262229 GEQ262228:GEQ262229 GOM262228:GOM262229 GYI262228:GYI262229 HIE262228:HIE262229 HSA262228:HSA262229 IBW262228:IBW262229 ILS262228:ILS262229 IVO262228:IVO262229 JFK262228:JFK262229 JPG262228:JPG262229 JZC262228:JZC262229 KIY262228:KIY262229 KSU262228:KSU262229 LCQ262228:LCQ262229 LMM262228:LMM262229 LWI262228:LWI262229 MGE262228:MGE262229 MQA262228:MQA262229 MZW262228:MZW262229 NJS262228:NJS262229 NTO262228:NTO262229 ODK262228:ODK262229 ONG262228:ONG262229 OXC262228:OXC262229 PGY262228:PGY262229 PQU262228:PQU262229 QAQ262228:QAQ262229 QKM262228:QKM262229 QUI262228:QUI262229 REE262228:REE262229 ROA262228:ROA262229 RXW262228:RXW262229 SHS262228:SHS262229 SRO262228:SRO262229 TBK262228:TBK262229 TLG262228:TLG262229 TVC262228:TVC262229 UEY262228:UEY262229 UOU262228:UOU262229 UYQ262228:UYQ262229 VIM262228:VIM262229 VSI262228:VSI262229 WCE262228:WCE262229 WMA262228:WMA262229 WVW262228:WVW262229 O327764:O327765 JK327764:JK327765 TG327764:TG327765 ADC327764:ADC327765 AMY327764:AMY327765 AWU327764:AWU327765 BGQ327764:BGQ327765 BQM327764:BQM327765 CAI327764:CAI327765 CKE327764:CKE327765 CUA327764:CUA327765 DDW327764:DDW327765 DNS327764:DNS327765 DXO327764:DXO327765 EHK327764:EHK327765 ERG327764:ERG327765 FBC327764:FBC327765 FKY327764:FKY327765 FUU327764:FUU327765 GEQ327764:GEQ327765 GOM327764:GOM327765 GYI327764:GYI327765 HIE327764:HIE327765 HSA327764:HSA327765 IBW327764:IBW327765 ILS327764:ILS327765 IVO327764:IVO327765 JFK327764:JFK327765 JPG327764:JPG327765 JZC327764:JZC327765 KIY327764:KIY327765 KSU327764:KSU327765 LCQ327764:LCQ327765 LMM327764:LMM327765 LWI327764:LWI327765 MGE327764:MGE327765 MQA327764:MQA327765 MZW327764:MZW327765 NJS327764:NJS327765 NTO327764:NTO327765 ODK327764:ODK327765 ONG327764:ONG327765 OXC327764:OXC327765 PGY327764:PGY327765 PQU327764:PQU327765 QAQ327764:QAQ327765 QKM327764:QKM327765 QUI327764:QUI327765 REE327764:REE327765 ROA327764:ROA327765 RXW327764:RXW327765 SHS327764:SHS327765 SRO327764:SRO327765 TBK327764:TBK327765 TLG327764:TLG327765 TVC327764:TVC327765 UEY327764:UEY327765 UOU327764:UOU327765 UYQ327764:UYQ327765 VIM327764:VIM327765 VSI327764:VSI327765 WCE327764:WCE327765 WMA327764:WMA327765 WVW327764:WVW327765 O393300:O393301 JK393300:JK393301 TG393300:TG393301 ADC393300:ADC393301 AMY393300:AMY393301 AWU393300:AWU393301 BGQ393300:BGQ393301 BQM393300:BQM393301 CAI393300:CAI393301 CKE393300:CKE393301 CUA393300:CUA393301 DDW393300:DDW393301 DNS393300:DNS393301 DXO393300:DXO393301 EHK393300:EHK393301 ERG393300:ERG393301 FBC393300:FBC393301 FKY393300:FKY393301 FUU393300:FUU393301 GEQ393300:GEQ393301 GOM393300:GOM393301 GYI393300:GYI393301 HIE393300:HIE393301 HSA393300:HSA393301 IBW393300:IBW393301 ILS393300:ILS393301 IVO393300:IVO393301 JFK393300:JFK393301 JPG393300:JPG393301 JZC393300:JZC393301 KIY393300:KIY393301 KSU393300:KSU393301 LCQ393300:LCQ393301 LMM393300:LMM393301 LWI393300:LWI393301 MGE393300:MGE393301 MQA393300:MQA393301 MZW393300:MZW393301 NJS393300:NJS393301 NTO393300:NTO393301 ODK393300:ODK393301 ONG393300:ONG393301 OXC393300:OXC393301 PGY393300:PGY393301 PQU393300:PQU393301 QAQ393300:QAQ393301 QKM393300:QKM393301 QUI393300:QUI393301 REE393300:REE393301 ROA393300:ROA393301 RXW393300:RXW393301 SHS393300:SHS393301 SRO393300:SRO393301 TBK393300:TBK393301 TLG393300:TLG393301 TVC393300:TVC393301 UEY393300:UEY393301 UOU393300:UOU393301 UYQ393300:UYQ393301 VIM393300:VIM393301 VSI393300:VSI393301 WCE393300:WCE393301 WMA393300:WMA393301 WVW393300:WVW393301 O458836:O458837 JK458836:JK458837 TG458836:TG458837 ADC458836:ADC458837 AMY458836:AMY458837 AWU458836:AWU458837 BGQ458836:BGQ458837 BQM458836:BQM458837 CAI458836:CAI458837 CKE458836:CKE458837 CUA458836:CUA458837 DDW458836:DDW458837 DNS458836:DNS458837 DXO458836:DXO458837 EHK458836:EHK458837 ERG458836:ERG458837 FBC458836:FBC458837 FKY458836:FKY458837 FUU458836:FUU458837 GEQ458836:GEQ458837 GOM458836:GOM458837 GYI458836:GYI458837 HIE458836:HIE458837 HSA458836:HSA458837 IBW458836:IBW458837 ILS458836:ILS458837 IVO458836:IVO458837 JFK458836:JFK458837 JPG458836:JPG458837 JZC458836:JZC458837 KIY458836:KIY458837 KSU458836:KSU458837 LCQ458836:LCQ458837 LMM458836:LMM458837 LWI458836:LWI458837 MGE458836:MGE458837 MQA458836:MQA458837 MZW458836:MZW458837 NJS458836:NJS458837 NTO458836:NTO458837 ODK458836:ODK458837 ONG458836:ONG458837 OXC458836:OXC458837 PGY458836:PGY458837 PQU458836:PQU458837 QAQ458836:QAQ458837 QKM458836:QKM458837 QUI458836:QUI458837 REE458836:REE458837 ROA458836:ROA458837 RXW458836:RXW458837 SHS458836:SHS458837 SRO458836:SRO458837 TBK458836:TBK458837 TLG458836:TLG458837 TVC458836:TVC458837 UEY458836:UEY458837 UOU458836:UOU458837 UYQ458836:UYQ458837 VIM458836:VIM458837 VSI458836:VSI458837 WCE458836:WCE458837 WMA458836:WMA458837 WVW458836:WVW458837 O524372:O524373 JK524372:JK524373 TG524372:TG524373 ADC524372:ADC524373 AMY524372:AMY524373 AWU524372:AWU524373 BGQ524372:BGQ524373 BQM524372:BQM524373 CAI524372:CAI524373 CKE524372:CKE524373 CUA524372:CUA524373 DDW524372:DDW524373 DNS524372:DNS524373 DXO524372:DXO524373 EHK524372:EHK524373 ERG524372:ERG524373 FBC524372:FBC524373 FKY524372:FKY524373 FUU524372:FUU524373 GEQ524372:GEQ524373 GOM524372:GOM524373 GYI524372:GYI524373 HIE524372:HIE524373 HSA524372:HSA524373 IBW524372:IBW524373 ILS524372:ILS524373 IVO524372:IVO524373 JFK524372:JFK524373 JPG524372:JPG524373 JZC524372:JZC524373 KIY524372:KIY524373 KSU524372:KSU524373 LCQ524372:LCQ524373 LMM524372:LMM524373 LWI524372:LWI524373 MGE524372:MGE524373 MQA524372:MQA524373 MZW524372:MZW524373 NJS524372:NJS524373 NTO524372:NTO524373 ODK524372:ODK524373 ONG524372:ONG524373 OXC524372:OXC524373 PGY524372:PGY524373 PQU524372:PQU524373 QAQ524372:QAQ524373 QKM524372:QKM524373 QUI524372:QUI524373 REE524372:REE524373 ROA524372:ROA524373 RXW524372:RXW524373 SHS524372:SHS524373 SRO524372:SRO524373 TBK524372:TBK524373 TLG524372:TLG524373 TVC524372:TVC524373 UEY524372:UEY524373 UOU524372:UOU524373 UYQ524372:UYQ524373 VIM524372:VIM524373 VSI524372:VSI524373 WCE524372:WCE524373 WMA524372:WMA524373 WVW524372:WVW524373 O589908:O589909 JK589908:JK589909 TG589908:TG589909 ADC589908:ADC589909 AMY589908:AMY589909 AWU589908:AWU589909 BGQ589908:BGQ589909 BQM589908:BQM589909 CAI589908:CAI589909 CKE589908:CKE589909 CUA589908:CUA589909 DDW589908:DDW589909 DNS589908:DNS589909 DXO589908:DXO589909 EHK589908:EHK589909 ERG589908:ERG589909 FBC589908:FBC589909 FKY589908:FKY589909 FUU589908:FUU589909 GEQ589908:GEQ589909 GOM589908:GOM589909 GYI589908:GYI589909 HIE589908:HIE589909 HSA589908:HSA589909 IBW589908:IBW589909 ILS589908:ILS589909 IVO589908:IVO589909 JFK589908:JFK589909 JPG589908:JPG589909 JZC589908:JZC589909 KIY589908:KIY589909 KSU589908:KSU589909 LCQ589908:LCQ589909 LMM589908:LMM589909 LWI589908:LWI589909 MGE589908:MGE589909 MQA589908:MQA589909 MZW589908:MZW589909 NJS589908:NJS589909 NTO589908:NTO589909 ODK589908:ODK589909 ONG589908:ONG589909 OXC589908:OXC589909 PGY589908:PGY589909 PQU589908:PQU589909 QAQ589908:QAQ589909 QKM589908:QKM589909 QUI589908:QUI589909 REE589908:REE589909 ROA589908:ROA589909 RXW589908:RXW589909 SHS589908:SHS589909 SRO589908:SRO589909 TBK589908:TBK589909 TLG589908:TLG589909 TVC589908:TVC589909 UEY589908:UEY589909 UOU589908:UOU589909 UYQ589908:UYQ589909 VIM589908:VIM589909 VSI589908:VSI589909 WCE589908:WCE589909 WMA589908:WMA589909 WVW589908:WVW589909 O655444:O655445 JK655444:JK655445 TG655444:TG655445 ADC655444:ADC655445 AMY655444:AMY655445 AWU655444:AWU655445 BGQ655444:BGQ655445 BQM655444:BQM655445 CAI655444:CAI655445 CKE655444:CKE655445 CUA655444:CUA655445 DDW655444:DDW655445 DNS655444:DNS655445 DXO655444:DXO655445 EHK655444:EHK655445 ERG655444:ERG655445 FBC655444:FBC655445 FKY655444:FKY655445 FUU655444:FUU655445 GEQ655444:GEQ655445 GOM655444:GOM655445 GYI655444:GYI655445 HIE655444:HIE655445 HSA655444:HSA655445 IBW655444:IBW655445 ILS655444:ILS655445 IVO655444:IVO655445 JFK655444:JFK655445 JPG655444:JPG655445 JZC655444:JZC655445 KIY655444:KIY655445 KSU655444:KSU655445 LCQ655444:LCQ655445 LMM655444:LMM655445 LWI655444:LWI655445 MGE655444:MGE655445 MQA655444:MQA655445 MZW655444:MZW655445 NJS655444:NJS655445 NTO655444:NTO655445 ODK655444:ODK655445 ONG655444:ONG655445 OXC655444:OXC655445 PGY655444:PGY655445 PQU655444:PQU655445 QAQ655444:QAQ655445 QKM655444:QKM655445 QUI655444:QUI655445 REE655444:REE655445 ROA655444:ROA655445 RXW655444:RXW655445 SHS655444:SHS655445 SRO655444:SRO655445 TBK655444:TBK655445 TLG655444:TLG655445 TVC655444:TVC655445 UEY655444:UEY655445 UOU655444:UOU655445 UYQ655444:UYQ655445 VIM655444:VIM655445 VSI655444:VSI655445 WCE655444:WCE655445 WMA655444:WMA655445 WVW655444:WVW655445 O720980:O720981 JK720980:JK720981 TG720980:TG720981 ADC720980:ADC720981 AMY720980:AMY720981 AWU720980:AWU720981 BGQ720980:BGQ720981 BQM720980:BQM720981 CAI720980:CAI720981 CKE720980:CKE720981 CUA720980:CUA720981 DDW720980:DDW720981 DNS720980:DNS720981 DXO720980:DXO720981 EHK720980:EHK720981 ERG720980:ERG720981 FBC720980:FBC720981 FKY720980:FKY720981 FUU720980:FUU720981 GEQ720980:GEQ720981 GOM720980:GOM720981 GYI720980:GYI720981 HIE720980:HIE720981 HSA720980:HSA720981 IBW720980:IBW720981 ILS720980:ILS720981 IVO720980:IVO720981 JFK720980:JFK720981 JPG720980:JPG720981 JZC720980:JZC720981 KIY720980:KIY720981 KSU720980:KSU720981 LCQ720980:LCQ720981 LMM720980:LMM720981 LWI720980:LWI720981 MGE720980:MGE720981 MQA720980:MQA720981 MZW720980:MZW720981 NJS720980:NJS720981 NTO720980:NTO720981 ODK720980:ODK720981 ONG720980:ONG720981 OXC720980:OXC720981 PGY720980:PGY720981 PQU720980:PQU720981 QAQ720980:QAQ720981 QKM720980:QKM720981 QUI720980:QUI720981 REE720980:REE720981 ROA720980:ROA720981 RXW720980:RXW720981 SHS720980:SHS720981 SRO720980:SRO720981 TBK720980:TBK720981 TLG720980:TLG720981 TVC720980:TVC720981 UEY720980:UEY720981 UOU720980:UOU720981 UYQ720980:UYQ720981 VIM720980:VIM720981 VSI720980:VSI720981 WCE720980:WCE720981 WMA720980:WMA720981 WVW720980:WVW720981 O786516:O786517 JK786516:JK786517 TG786516:TG786517 ADC786516:ADC786517 AMY786516:AMY786517 AWU786516:AWU786517 BGQ786516:BGQ786517 BQM786516:BQM786517 CAI786516:CAI786517 CKE786516:CKE786517 CUA786516:CUA786517 DDW786516:DDW786517 DNS786516:DNS786517 DXO786516:DXO786517 EHK786516:EHK786517 ERG786516:ERG786517 FBC786516:FBC786517 FKY786516:FKY786517 FUU786516:FUU786517 GEQ786516:GEQ786517 GOM786516:GOM786517 GYI786516:GYI786517 HIE786516:HIE786517 HSA786516:HSA786517 IBW786516:IBW786517 ILS786516:ILS786517 IVO786516:IVO786517 JFK786516:JFK786517 JPG786516:JPG786517 JZC786516:JZC786517 KIY786516:KIY786517 KSU786516:KSU786517 LCQ786516:LCQ786517 LMM786516:LMM786517 LWI786516:LWI786517 MGE786516:MGE786517 MQA786516:MQA786517 MZW786516:MZW786517 NJS786516:NJS786517 NTO786516:NTO786517 ODK786516:ODK786517 ONG786516:ONG786517 OXC786516:OXC786517 PGY786516:PGY786517 PQU786516:PQU786517 QAQ786516:QAQ786517 QKM786516:QKM786517 QUI786516:QUI786517 REE786516:REE786517 ROA786516:ROA786517 RXW786516:RXW786517 SHS786516:SHS786517 SRO786516:SRO786517 TBK786516:TBK786517 TLG786516:TLG786517 TVC786516:TVC786517 UEY786516:UEY786517 UOU786516:UOU786517 UYQ786516:UYQ786517 VIM786516:VIM786517 VSI786516:VSI786517 WCE786516:WCE786517 WMA786516:WMA786517 WVW786516:WVW786517 O852052:O852053 JK852052:JK852053 TG852052:TG852053 ADC852052:ADC852053 AMY852052:AMY852053 AWU852052:AWU852053 BGQ852052:BGQ852053 BQM852052:BQM852053 CAI852052:CAI852053 CKE852052:CKE852053 CUA852052:CUA852053 DDW852052:DDW852053 DNS852052:DNS852053 DXO852052:DXO852053 EHK852052:EHK852053 ERG852052:ERG852053 FBC852052:FBC852053 FKY852052:FKY852053 FUU852052:FUU852053 GEQ852052:GEQ852053 GOM852052:GOM852053 GYI852052:GYI852053 HIE852052:HIE852053 HSA852052:HSA852053 IBW852052:IBW852053 ILS852052:ILS852053 IVO852052:IVO852053 JFK852052:JFK852053 JPG852052:JPG852053 JZC852052:JZC852053 KIY852052:KIY852053 KSU852052:KSU852053 LCQ852052:LCQ852053 LMM852052:LMM852053 LWI852052:LWI852053 MGE852052:MGE852053 MQA852052:MQA852053 MZW852052:MZW852053 NJS852052:NJS852053 NTO852052:NTO852053 ODK852052:ODK852053 ONG852052:ONG852053 OXC852052:OXC852053 PGY852052:PGY852053 PQU852052:PQU852053 QAQ852052:QAQ852053 QKM852052:QKM852053 QUI852052:QUI852053 REE852052:REE852053 ROA852052:ROA852053 RXW852052:RXW852053 SHS852052:SHS852053 SRO852052:SRO852053 TBK852052:TBK852053 TLG852052:TLG852053 TVC852052:TVC852053 UEY852052:UEY852053 UOU852052:UOU852053 UYQ852052:UYQ852053 VIM852052:VIM852053 VSI852052:VSI852053 WCE852052:WCE852053 WMA852052:WMA852053 WVW852052:WVW852053 O917588:O917589 JK917588:JK917589 TG917588:TG917589 ADC917588:ADC917589 AMY917588:AMY917589 AWU917588:AWU917589 BGQ917588:BGQ917589 BQM917588:BQM917589 CAI917588:CAI917589 CKE917588:CKE917589 CUA917588:CUA917589 DDW917588:DDW917589 DNS917588:DNS917589 DXO917588:DXO917589 EHK917588:EHK917589 ERG917588:ERG917589 FBC917588:FBC917589 FKY917588:FKY917589 FUU917588:FUU917589 GEQ917588:GEQ917589 GOM917588:GOM917589 GYI917588:GYI917589 HIE917588:HIE917589 HSA917588:HSA917589 IBW917588:IBW917589 ILS917588:ILS917589 IVO917588:IVO917589 JFK917588:JFK917589 JPG917588:JPG917589 JZC917588:JZC917589 KIY917588:KIY917589 KSU917588:KSU917589 LCQ917588:LCQ917589 LMM917588:LMM917589 LWI917588:LWI917589 MGE917588:MGE917589 MQA917588:MQA917589 MZW917588:MZW917589 NJS917588:NJS917589 NTO917588:NTO917589 ODK917588:ODK917589 ONG917588:ONG917589 OXC917588:OXC917589 PGY917588:PGY917589 PQU917588:PQU917589 QAQ917588:QAQ917589 QKM917588:QKM917589 QUI917588:QUI917589 REE917588:REE917589 ROA917588:ROA917589 RXW917588:RXW917589 SHS917588:SHS917589 SRO917588:SRO917589 TBK917588:TBK917589 TLG917588:TLG917589 TVC917588:TVC917589 UEY917588:UEY917589 UOU917588:UOU917589 UYQ917588:UYQ917589 VIM917588:VIM917589 VSI917588:VSI917589 WCE917588:WCE917589 WMA917588:WMA917589 WVW917588:WVW917589 O983124:O983125 JK983124:JK983125 TG983124:TG983125 ADC983124:ADC983125 AMY983124:AMY983125 AWU983124:AWU983125 BGQ983124:BGQ983125 BQM983124:BQM983125 CAI983124:CAI983125 CKE983124:CKE983125 CUA983124:CUA983125 DDW983124:DDW983125 DNS983124:DNS983125 DXO983124:DXO983125 EHK983124:EHK983125 ERG983124:ERG983125 FBC983124:FBC983125 FKY983124:FKY983125 FUU983124:FUU983125 GEQ983124:GEQ983125 GOM983124:GOM983125 GYI983124:GYI983125 HIE983124:HIE983125 HSA983124:HSA983125 IBW983124:IBW983125 ILS983124:ILS983125 IVO983124:IVO983125 JFK983124:JFK983125 JPG983124:JPG983125 JZC983124:JZC983125 KIY983124:KIY983125 KSU983124:KSU983125 LCQ983124:LCQ983125 LMM983124:LMM983125 LWI983124:LWI983125 MGE983124:MGE983125 MQA983124:MQA983125 MZW983124:MZW983125 NJS983124:NJS983125 NTO983124:NTO983125 ODK983124:ODK983125 ONG983124:ONG983125 OXC983124:OXC983125 PGY983124:PGY983125 PQU983124:PQU983125 QAQ983124:QAQ983125 QKM983124:QKM983125 QUI983124:QUI983125 REE983124:REE983125 ROA983124:ROA983125 RXW983124:RXW983125 SHS983124:SHS983125 SRO983124:SRO983125 TBK983124:TBK983125 TLG983124:TLG983125 TVC983124:TVC983125 UEY983124:UEY983125 UOU983124:UOU983125 UYQ983124:UYQ983125 VIM983124:VIM983125 VSI983124:VSI983125 WCE983124:WCE983125 WMA983124:WMA983125 WVW983124:WVW983125 DDW71:DDW77 JK84:JK86 TG84:TG86 ADC84:ADC86 AMY84:AMY86 AWU84:AWU86 BGQ84:BGQ86 BQM84:BQM86 CAI84:CAI86 CKE84:CKE86 CUA84:CUA86 DDW84:DDW86 DNS84:DNS86 DXO84:DXO86 EHK84:EHK86 ERG84:ERG86 FBC84:FBC86 FKY84:FKY86 FUU84:FUU86 GEQ84:GEQ86 GOM84:GOM86 GYI84:GYI86 HIE84:HIE86 HSA84:HSA86 IBW84:IBW86 ILS84:ILS86 IVO84:IVO86 JFK84:JFK86 JPG84:JPG86 JZC84:JZC86 KIY84:KIY86 KSU84:KSU86 LCQ84:LCQ86 LMM84:LMM86 LWI84:LWI86 MGE84:MGE86 MQA84:MQA86 MZW84:MZW86 NJS84:NJS86 NTO84:NTO86 ODK84:ODK86 ONG84:ONG86 OXC84:OXC86 PGY84:PGY86 PQU84:PQU86 QAQ84:QAQ86 QKM84:QKM86 QUI84:QUI86 REE84:REE86 ROA84:ROA86 RXW84:RXW86 SHS84:SHS86 SRO84:SRO86 TBK84:TBK86 TLG84:TLG86 TVC84:TVC86 UEY84:UEY86 UOU84:UOU86 UYQ84:UYQ86 VIM84:VIM86 VSI84:VSI86 WCE84:WCE86 WMA84:WMA86 WVW84:WVW86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CUA71:CUA77 JR79 TN79 ADJ79 ANF79 AXB79 BGX79 BQT79 CAP79 CKL79 CUH79 DED79 DNZ79 DXV79 EHR79 ERN79 FBJ79 FLF79 FVB79 GEX79 GOT79 GYP79 HIL79 HSH79 ICD79 ILZ79 IVV79 JFR79 JPN79 JZJ79 KJF79 KTB79 LCX79 LMT79 LWP79 MGL79 MQH79 NAD79 NJZ79 NTV79 ODR79 ONN79 OXJ79 PHF79 PRB79 QAX79 QKT79 QUP79 REL79 ROH79 RYD79 SHZ79 SRV79 TBR79 TLN79 TVJ79 UFF79 UPB79 UYX79 VIT79 VSP79 WCL79 WMH79 WWD79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CKE71:CKE77 JR81:JR82 TN81:TN82 ADJ81:ADJ82 ANF81:ANF82 AXB81:AXB82 BGX81:BGX82 BQT81:BQT82 CAP81:CAP82 CKL81:CKL82 CUH81:CUH82 DED81:DED82 DNZ81:DNZ82 DXV81:DXV82 EHR81:EHR82 ERN81:ERN82 FBJ81:FBJ82 FLF81:FLF82 FVB81:FVB82 GEX81:GEX82 GOT81:GOT82 GYP81:GYP82 HIL81:HIL82 HSH81:HSH82 ICD81:ICD82 ILZ81:ILZ82 IVV81:IVV82 JFR81:JFR82 JPN81:JPN82 JZJ81:JZJ82 KJF81:KJF82 KTB81:KTB82 LCX81:LCX82 LMT81:LMT82 LWP81:LWP82 MGL81:MGL82 MQH81:MQH82 NAD81:NAD82 NJZ81:NJZ82 NTV81:NTV82 ODR81:ODR82 ONN81:ONN82 OXJ81:OXJ82 PHF81:PHF82 PRB81:PRB82 QAX81:QAX82 QKT81:QKT82 QUP81:QUP82 REL81:REL82 ROH81:ROH82 RYD81:RYD82 SHZ81:SHZ82 SRV81:SRV82 TBR81:TBR82 TLN81:TLN82 TVJ81:TVJ82 UFF81:UFF82 UPB81:UPB82 UYX81:UYX82 VIT81:VIT82 VSP81:VSP82 WCL81:WCL82 WMH81:WMH82 WWD81:WWD82 V65620:V65621 JR65620:JR65621 TN65620:TN65621 ADJ65620:ADJ65621 ANF65620:ANF65621 AXB65620:AXB65621 BGX65620:BGX65621 BQT65620:BQT65621 CAP65620:CAP65621 CKL65620:CKL65621 CUH65620:CUH65621 DED65620:DED65621 DNZ65620:DNZ65621 DXV65620:DXV65621 EHR65620:EHR65621 ERN65620:ERN65621 FBJ65620:FBJ65621 FLF65620:FLF65621 FVB65620:FVB65621 GEX65620:GEX65621 GOT65620:GOT65621 GYP65620:GYP65621 HIL65620:HIL65621 HSH65620:HSH65621 ICD65620:ICD65621 ILZ65620:ILZ65621 IVV65620:IVV65621 JFR65620:JFR65621 JPN65620:JPN65621 JZJ65620:JZJ65621 KJF65620:KJF65621 KTB65620:KTB65621 LCX65620:LCX65621 LMT65620:LMT65621 LWP65620:LWP65621 MGL65620:MGL65621 MQH65620:MQH65621 NAD65620:NAD65621 NJZ65620:NJZ65621 NTV65620:NTV65621 ODR65620:ODR65621 ONN65620:ONN65621 OXJ65620:OXJ65621 PHF65620:PHF65621 PRB65620:PRB65621 QAX65620:QAX65621 QKT65620:QKT65621 QUP65620:QUP65621 REL65620:REL65621 ROH65620:ROH65621 RYD65620:RYD65621 SHZ65620:SHZ65621 SRV65620:SRV65621 TBR65620:TBR65621 TLN65620:TLN65621 TVJ65620:TVJ65621 UFF65620:UFF65621 UPB65620:UPB65621 UYX65620:UYX65621 VIT65620:VIT65621 VSP65620:VSP65621 WCL65620:WCL65621 WMH65620:WMH65621 WWD65620:WWD65621 V131156:V131157 JR131156:JR131157 TN131156:TN131157 ADJ131156:ADJ131157 ANF131156:ANF131157 AXB131156:AXB131157 BGX131156:BGX131157 BQT131156:BQT131157 CAP131156:CAP131157 CKL131156:CKL131157 CUH131156:CUH131157 DED131156:DED131157 DNZ131156:DNZ131157 DXV131156:DXV131157 EHR131156:EHR131157 ERN131156:ERN131157 FBJ131156:FBJ131157 FLF131156:FLF131157 FVB131156:FVB131157 GEX131156:GEX131157 GOT131156:GOT131157 GYP131156:GYP131157 HIL131156:HIL131157 HSH131156:HSH131157 ICD131156:ICD131157 ILZ131156:ILZ131157 IVV131156:IVV131157 JFR131156:JFR131157 JPN131156:JPN131157 JZJ131156:JZJ131157 KJF131156:KJF131157 KTB131156:KTB131157 LCX131156:LCX131157 LMT131156:LMT131157 LWP131156:LWP131157 MGL131156:MGL131157 MQH131156:MQH131157 NAD131156:NAD131157 NJZ131156:NJZ131157 NTV131156:NTV131157 ODR131156:ODR131157 ONN131156:ONN131157 OXJ131156:OXJ131157 PHF131156:PHF131157 PRB131156:PRB131157 QAX131156:QAX131157 QKT131156:QKT131157 QUP131156:QUP131157 REL131156:REL131157 ROH131156:ROH131157 RYD131156:RYD131157 SHZ131156:SHZ131157 SRV131156:SRV131157 TBR131156:TBR131157 TLN131156:TLN131157 TVJ131156:TVJ131157 UFF131156:UFF131157 UPB131156:UPB131157 UYX131156:UYX131157 VIT131156:VIT131157 VSP131156:VSP131157 WCL131156:WCL131157 WMH131156:WMH131157 WWD131156:WWD131157 V196692:V196693 JR196692:JR196693 TN196692:TN196693 ADJ196692:ADJ196693 ANF196692:ANF196693 AXB196692:AXB196693 BGX196692:BGX196693 BQT196692:BQT196693 CAP196692:CAP196693 CKL196692:CKL196693 CUH196692:CUH196693 DED196692:DED196693 DNZ196692:DNZ196693 DXV196692:DXV196693 EHR196692:EHR196693 ERN196692:ERN196693 FBJ196692:FBJ196693 FLF196692:FLF196693 FVB196692:FVB196693 GEX196692:GEX196693 GOT196692:GOT196693 GYP196692:GYP196693 HIL196692:HIL196693 HSH196692:HSH196693 ICD196692:ICD196693 ILZ196692:ILZ196693 IVV196692:IVV196693 JFR196692:JFR196693 JPN196692:JPN196693 JZJ196692:JZJ196693 KJF196692:KJF196693 KTB196692:KTB196693 LCX196692:LCX196693 LMT196692:LMT196693 LWP196692:LWP196693 MGL196692:MGL196693 MQH196692:MQH196693 NAD196692:NAD196693 NJZ196692:NJZ196693 NTV196692:NTV196693 ODR196692:ODR196693 ONN196692:ONN196693 OXJ196692:OXJ196693 PHF196692:PHF196693 PRB196692:PRB196693 QAX196692:QAX196693 QKT196692:QKT196693 QUP196692:QUP196693 REL196692:REL196693 ROH196692:ROH196693 RYD196692:RYD196693 SHZ196692:SHZ196693 SRV196692:SRV196693 TBR196692:TBR196693 TLN196692:TLN196693 TVJ196692:TVJ196693 UFF196692:UFF196693 UPB196692:UPB196693 UYX196692:UYX196693 VIT196692:VIT196693 VSP196692:VSP196693 WCL196692:WCL196693 WMH196692:WMH196693 WWD196692:WWD196693 V262228:V262229 JR262228:JR262229 TN262228:TN262229 ADJ262228:ADJ262229 ANF262228:ANF262229 AXB262228:AXB262229 BGX262228:BGX262229 BQT262228:BQT262229 CAP262228:CAP262229 CKL262228:CKL262229 CUH262228:CUH262229 DED262228:DED262229 DNZ262228:DNZ262229 DXV262228:DXV262229 EHR262228:EHR262229 ERN262228:ERN262229 FBJ262228:FBJ262229 FLF262228:FLF262229 FVB262228:FVB262229 GEX262228:GEX262229 GOT262228:GOT262229 GYP262228:GYP262229 HIL262228:HIL262229 HSH262228:HSH262229 ICD262228:ICD262229 ILZ262228:ILZ262229 IVV262228:IVV262229 JFR262228:JFR262229 JPN262228:JPN262229 JZJ262228:JZJ262229 KJF262228:KJF262229 KTB262228:KTB262229 LCX262228:LCX262229 LMT262228:LMT262229 LWP262228:LWP262229 MGL262228:MGL262229 MQH262228:MQH262229 NAD262228:NAD262229 NJZ262228:NJZ262229 NTV262228:NTV262229 ODR262228:ODR262229 ONN262228:ONN262229 OXJ262228:OXJ262229 PHF262228:PHF262229 PRB262228:PRB262229 QAX262228:QAX262229 QKT262228:QKT262229 QUP262228:QUP262229 REL262228:REL262229 ROH262228:ROH262229 RYD262228:RYD262229 SHZ262228:SHZ262229 SRV262228:SRV262229 TBR262228:TBR262229 TLN262228:TLN262229 TVJ262228:TVJ262229 UFF262228:UFF262229 UPB262228:UPB262229 UYX262228:UYX262229 VIT262228:VIT262229 VSP262228:VSP262229 WCL262228:WCL262229 WMH262228:WMH262229 WWD262228:WWD262229 V327764:V327765 JR327764:JR327765 TN327764:TN327765 ADJ327764:ADJ327765 ANF327764:ANF327765 AXB327764:AXB327765 BGX327764:BGX327765 BQT327764:BQT327765 CAP327764:CAP327765 CKL327764:CKL327765 CUH327764:CUH327765 DED327764:DED327765 DNZ327764:DNZ327765 DXV327764:DXV327765 EHR327764:EHR327765 ERN327764:ERN327765 FBJ327764:FBJ327765 FLF327764:FLF327765 FVB327764:FVB327765 GEX327764:GEX327765 GOT327764:GOT327765 GYP327764:GYP327765 HIL327764:HIL327765 HSH327764:HSH327765 ICD327764:ICD327765 ILZ327764:ILZ327765 IVV327764:IVV327765 JFR327764:JFR327765 JPN327764:JPN327765 JZJ327764:JZJ327765 KJF327764:KJF327765 KTB327764:KTB327765 LCX327764:LCX327765 LMT327764:LMT327765 LWP327764:LWP327765 MGL327764:MGL327765 MQH327764:MQH327765 NAD327764:NAD327765 NJZ327764:NJZ327765 NTV327764:NTV327765 ODR327764:ODR327765 ONN327764:ONN327765 OXJ327764:OXJ327765 PHF327764:PHF327765 PRB327764:PRB327765 QAX327764:QAX327765 QKT327764:QKT327765 QUP327764:QUP327765 REL327764:REL327765 ROH327764:ROH327765 RYD327764:RYD327765 SHZ327764:SHZ327765 SRV327764:SRV327765 TBR327764:TBR327765 TLN327764:TLN327765 TVJ327764:TVJ327765 UFF327764:UFF327765 UPB327764:UPB327765 UYX327764:UYX327765 VIT327764:VIT327765 VSP327764:VSP327765 WCL327764:WCL327765 WMH327764:WMH327765 WWD327764:WWD327765 V393300:V393301 JR393300:JR393301 TN393300:TN393301 ADJ393300:ADJ393301 ANF393300:ANF393301 AXB393300:AXB393301 BGX393300:BGX393301 BQT393300:BQT393301 CAP393300:CAP393301 CKL393300:CKL393301 CUH393300:CUH393301 DED393300:DED393301 DNZ393300:DNZ393301 DXV393300:DXV393301 EHR393300:EHR393301 ERN393300:ERN393301 FBJ393300:FBJ393301 FLF393300:FLF393301 FVB393300:FVB393301 GEX393300:GEX393301 GOT393300:GOT393301 GYP393300:GYP393301 HIL393300:HIL393301 HSH393300:HSH393301 ICD393300:ICD393301 ILZ393300:ILZ393301 IVV393300:IVV393301 JFR393300:JFR393301 JPN393300:JPN393301 JZJ393300:JZJ393301 KJF393300:KJF393301 KTB393300:KTB393301 LCX393300:LCX393301 LMT393300:LMT393301 LWP393300:LWP393301 MGL393300:MGL393301 MQH393300:MQH393301 NAD393300:NAD393301 NJZ393300:NJZ393301 NTV393300:NTV393301 ODR393300:ODR393301 ONN393300:ONN393301 OXJ393300:OXJ393301 PHF393300:PHF393301 PRB393300:PRB393301 QAX393300:QAX393301 QKT393300:QKT393301 QUP393300:QUP393301 REL393300:REL393301 ROH393300:ROH393301 RYD393300:RYD393301 SHZ393300:SHZ393301 SRV393300:SRV393301 TBR393300:TBR393301 TLN393300:TLN393301 TVJ393300:TVJ393301 UFF393300:UFF393301 UPB393300:UPB393301 UYX393300:UYX393301 VIT393300:VIT393301 VSP393300:VSP393301 WCL393300:WCL393301 WMH393300:WMH393301 WWD393300:WWD393301 V458836:V458837 JR458836:JR458837 TN458836:TN458837 ADJ458836:ADJ458837 ANF458836:ANF458837 AXB458836:AXB458837 BGX458836:BGX458837 BQT458836:BQT458837 CAP458836:CAP458837 CKL458836:CKL458837 CUH458836:CUH458837 DED458836:DED458837 DNZ458836:DNZ458837 DXV458836:DXV458837 EHR458836:EHR458837 ERN458836:ERN458837 FBJ458836:FBJ458837 FLF458836:FLF458837 FVB458836:FVB458837 GEX458836:GEX458837 GOT458836:GOT458837 GYP458836:GYP458837 HIL458836:HIL458837 HSH458836:HSH458837 ICD458836:ICD458837 ILZ458836:ILZ458837 IVV458836:IVV458837 JFR458836:JFR458837 JPN458836:JPN458837 JZJ458836:JZJ458837 KJF458836:KJF458837 KTB458836:KTB458837 LCX458836:LCX458837 LMT458836:LMT458837 LWP458836:LWP458837 MGL458836:MGL458837 MQH458836:MQH458837 NAD458836:NAD458837 NJZ458836:NJZ458837 NTV458836:NTV458837 ODR458836:ODR458837 ONN458836:ONN458837 OXJ458836:OXJ458837 PHF458836:PHF458837 PRB458836:PRB458837 QAX458836:QAX458837 QKT458836:QKT458837 QUP458836:QUP458837 REL458836:REL458837 ROH458836:ROH458837 RYD458836:RYD458837 SHZ458836:SHZ458837 SRV458836:SRV458837 TBR458836:TBR458837 TLN458836:TLN458837 TVJ458836:TVJ458837 UFF458836:UFF458837 UPB458836:UPB458837 UYX458836:UYX458837 VIT458836:VIT458837 VSP458836:VSP458837 WCL458836:WCL458837 WMH458836:WMH458837 WWD458836:WWD458837 V524372:V524373 JR524372:JR524373 TN524372:TN524373 ADJ524372:ADJ524373 ANF524372:ANF524373 AXB524372:AXB524373 BGX524372:BGX524373 BQT524372:BQT524373 CAP524372:CAP524373 CKL524372:CKL524373 CUH524372:CUH524373 DED524372:DED524373 DNZ524372:DNZ524373 DXV524372:DXV524373 EHR524372:EHR524373 ERN524372:ERN524373 FBJ524372:FBJ524373 FLF524372:FLF524373 FVB524372:FVB524373 GEX524372:GEX524373 GOT524372:GOT524373 GYP524372:GYP524373 HIL524372:HIL524373 HSH524372:HSH524373 ICD524372:ICD524373 ILZ524372:ILZ524373 IVV524372:IVV524373 JFR524372:JFR524373 JPN524372:JPN524373 JZJ524372:JZJ524373 KJF524372:KJF524373 KTB524372:KTB524373 LCX524372:LCX524373 LMT524372:LMT524373 LWP524372:LWP524373 MGL524372:MGL524373 MQH524372:MQH524373 NAD524372:NAD524373 NJZ524372:NJZ524373 NTV524372:NTV524373 ODR524372:ODR524373 ONN524372:ONN524373 OXJ524372:OXJ524373 PHF524372:PHF524373 PRB524372:PRB524373 QAX524372:QAX524373 QKT524372:QKT524373 QUP524372:QUP524373 REL524372:REL524373 ROH524372:ROH524373 RYD524372:RYD524373 SHZ524372:SHZ524373 SRV524372:SRV524373 TBR524372:TBR524373 TLN524372:TLN524373 TVJ524372:TVJ524373 UFF524372:UFF524373 UPB524372:UPB524373 UYX524372:UYX524373 VIT524372:VIT524373 VSP524372:VSP524373 WCL524372:WCL524373 WMH524372:WMH524373 WWD524372:WWD524373 V589908:V589909 JR589908:JR589909 TN589908:TN589909 ADJ589908:ADJ589909 ANF589908:ANF589909 AXB589908:AXB589909 BGX589908:BGX589909 BQT589908:BQT589909 CAP589908:CAP589909 CKL589908:CKL589909 CUH589908:CUH589909 DED589908:DED589909 DNZ589908:DNZ589909 DXV589908:DXV589909 EHR589908:EHR589909 ERN589908:ERN589909 FBJ589908:FBJ589909 FLF589908:FLF589909 FVB589908:FVB589909 GEX589908:GEX589909 GOT589908:GOT589909 GYP589908:GYP589909 HIL589908:HIL589909 HSH589908:HSH589909 ICD589908:ICD589909 ILZ589908:ILZ589909 IVV589908:IVV589909 JFR589908:JFR589909 JPN589908:JPN589909 JZJ589908:JZJ589909 KJF589908:KJF589909 KTB589908:KTB589909 LCX589908:LCX589909 LMT589908:LMT589909 LWP589908:LWP589909 MGL589908:MGL589909 MQH589908:MQH589909 NAD589908:NAD589909 NJZ589908:NJZ589909 NTV589908:NTV589909 ODR589908:ODR589909 ONN589908:ONN589909 OXJ589908:OXJ589909 PHF589908:PHF589909 PRB589908:PRB589909 QAX589908:QAX589909 QKT589908:QKT589909 QUP589908:QUP589909 REL589908:REL589909 ROH589908:ROH589909 RYD589908:RYD589909 SHZ589908:SHZ589909 SRV589908:SRV589909 TBR589908:TBR589909 TLN589908:TLN589909 TVJ589908:TVJ589909 UFF589908:UFF589909 UPB589908:UPB589909 UYX589908:UYX589909 VIT589908:VIT589909 VSP589908:VSP589909 WCL589908:WCL589909 WMH589908:WMH589909 WWD589908:WWD589909 V655444:V655445 JR655444:JR655445 TN655444:TN655445 ADJ655444:ADJ655445 ANF655444:ANF655445 AXB655444:AXB655445 BGX655444:BGX655445 BQT655444:BQT655445 CAP655444:CAP655445 CKL655444:CKL655445 CUH655444:CUH655445 DED655444:DED655445 DNZ655444:DNZ655445 DXV655444:DXV655445 EHR655444:EHR655445 ERN655444:ERN655445 FBJ655444:FBJ655445 FLF655444:FLF655445 FVB655444:FVB655445 GEX655444:GEX655445 GOT655444:GOT655445 GYP655444:GYP655445 HIL655444:HIL655445 HSH655444:HSH655445 ICD655444:ICD655445 ILZ655444:ILZ655445 IVV655444:IVV655445 JFR655444:JFR655445 JPN655444:JPN655445 JZJ655444:JZJ655445 KJF655444:KJF655445 KTB655444:KTB655445 LCX655444:LCX655445 LMT655444:LMT655445 LWP655444:LWP655445 MGL655444:MGL655445 MQH655444:MQH655445 NAD655444:NAD655445 NJZ655444:NJZ655445 NTV655444:NTV655445 ODR655444:ODR655445 ONN655444:ONN655445 OXJ655444:OXJ655445 PHF655444:PHF655445 PRB655444:PRB655445 QAX655444:QAX655445 QKT655444:QKT655445 QUP655444:QUP655445 REL655444:REL655445 ROH655444:ROH655445 RYD655444:RYD655445 SHZ655444:SHZ655445 SRV655444:SRV655445 TBR655444:TBR655445 TLN655444:TLN655445 TVJ655444:TVJ655445 UFF655444:UFF655445 UPB655444:UPB655445 UYX655444:UYX655445 VIT655444:VIT655445 VSP655444:VSP655445 WCL655444:WCL655445 WMH655444:WMH655445 WWD655444:WWD655445 V720980:V720981 JR720980:JR720981 TN720980:TN720981 ADJ720980:ADJ720981 ANF720980:ANF720981 AXB720980:AXB720981 BGX720980:BGX720981 BQT720980:BQT720981 CAP720980:CAP720981 CKL720980:CKL720981 CUH720980:CUH720981 DED720980:DED720981 DNZ720980:DNZ720981 DXV720980:DXV720981 EHR720980:EHR720981 ERN720980:ERN720981 FBJ720980:FBJ720981 FLF720980:FLF720981 FVB720980:FVB720981 GEX720980:GEX720981 GOT720980:GOT720981 GYP720980:GYP720981 HIL720980:HIL720981 HSH720980:HSH720981 ICD720980:ICD720981 ILZ720980:ILZ720981 IVV720980:IVV720981 JFR720980:JFR720981 JPN720980:JPN720981 JZJ720980:JZJ720981 KJF720980:KJF720981 KTB720980:KTB720981 LCX720980:LCX720981 LMT720980:LMT720981 LWP720980:LWP720981 MGL720980:MGL720981 MQH720980:MQH720981 NAD720980:NAD720981 NJZ720980:NJZ720981 NTV720980:NTV720981 ODR720980:ODR720981 ONN720980:ONN720981 OXJ720980:OXJ720981 PHF720980:PHF720981 PRB720980:PRB720981 QAX720980:QAX720981 QKT720980:QKT720981 QUP720980:QUP720981 REL720980:REL720981 ROH720980:ROH720981 RYD720980:RYD720981 SHZ720980:SHZ720981 SRV720980:SRV720981 TBR720980:TBR720981 TLN720980:TLN720981 TVJ720980:TVJ720981 UFF720980:UFF720981 UPB720980:UPB720981 UYX720980:UYX720981 VIT720980:VIT720981 VSP720980:VSP720981 WCL720980:WCL720981 WMH720980:WMH720981 WWD720980:WWD720981 V786516:V786517 JR786516:JR786517 TN786516:TN786517 ADJ786516:ADJ786517 ANF786516:ANF786517 AXB786516:AXB786517 BGX786516:BGX786517 BQT786516:BQT786517 CAP786516:CAP786517 CKL786516:CKL786517 CUH786516:CUH786517 DED786516:DED786517 DNZ786516:DNZ786517 DXV786516:DXV786517 EHR786516:EHR786517 ERN786516:ERN786517 FBJ786516:FBJ786517 FLF786516:FLF786517 FVB786516:FVB786517 GEX786516:GEX786517 GOT786516:GOT786517 GYP786516:GYP786517 HIL786516:HIL786517 HSH786516:HSH786517 ICD786516:ICD786517 ILZ786516:ILZ786517 IVV786516:IVV786517 JFR786516:JFR786517 JPN786516:JPN786517 JZJ786516:JZJ786517 KJF786516:KJF786517 KTB786516:KTB786517 LCX786516:LCX786517 LMT786516:LMT786517 LWP786516:LWP786517 MGL786516:MGL786517 MQH786516:MQH786517 NAD786516:NAD786517 NJZ786516:NJZ786517 NTV786516:NTV786517 ODR786516:ODR786517 ONN786516:ONN786517 OXJ786516:OXJ786517 PHF786516:PHF786517 PRB786516:PRB786517 QAX786516:QAX786517 QKT786516:QKT786517 QUP786516:QUP786517 REL786516:REL786517 ROH786516:ROH786517 RYD786516:RYD786517 SHZ786516:SHZ786517 SRV786516:SRV786517 TBR786516:TBR786517 TLN786516:TLN786517 TVJ786516:TVJ786517 UFF786516:UFF786517 UPB786516:UPB786517 UYX786516:UYX786517 VIT786516:VIT786517 VSP786516:VSP786517 WCL786516:WCL786517 WMH786516:WMH786517 WWD786516:WWD786517 V852052:V852053 JR852052:JR852053 TN852052:TN852053 ADJ852052:ADJ852053 ANF852052:ANF852053 AXB852052:AXB852053 BGX852052:BGX852053 BQT852052:BQT852053 CAP852052:CAP852053 CKL852052:CKL852053 CUH852052:CUH852053 DED852052:DED852053 DNZ852052:DNZ852053 DXV852052:DXV852053 EHR852052:EHR852053 ERN852052:ERN852053 FBJ852052:FBJ852053 FLF852052:FLF852053 FVB852052:FVB852053 GEX852052:GEX852053 GOT852052:GOT852053 GYP852052:GYP852053 HIL852052:HIL852053 HSH852052:HSH852053 ICD852052:ICD852053 ILZ852052:ILZ852053 IVV852052:IVV852053 JFR852052:JFR852053 JPN852052:JPN852053 JZJ852052:JZJ852053 KJF852052:KJF852053 KTB852052:KTB852053 LCX852052:LCX852053 LMT852052:LMT852053 LWP852052:LWP852053 MGL852052:MGL852053 MQH852052:MQH852053 NAD852052:NAD852053 NJZ852052:NJZ852053 NTV852052:NTV852053 ODR852052:ODR852053 ONN852052:ONN852053 OXJ852052:OXJ852053 PHF852052:PHF852053 PRB852052:PRB852053 QAX852052:QAX852053 QKT852052:QKT852053 QUP852052:QUP852053 REL852052:REL852053 ROH852052:ROH852053 RYD852052:RYD852053 SHZ852052:SHZ852053 SRV852052:SRV852053 TBR852052:TBR852053 TLN852052:TLN852053 TVJ852052:TVJ852053 UFF852052:UFF852053 UPB852052:UPB852053 UYX852052:UYX852053 VIT852052:VIT852053 VSP852052:VSP852053 WCL852052:WCL852053 WMH852052:WMH852053 WWD852052:WWD852053 V917588:V917589 JR917588:JR917589 TN917588:TN917589 ADJ917588:ADJ917589 ANF917588:ANF917589 AXB917588:AXB917589 BGX917588:BGX917589 BQT917588:BQT917589 CAP917588:CAP917589 CKL917588:CKL917589 CUH917588:CUH917589 DED917588:DED917589 DNZ917588:DNZ917589 DXV917588:DXV917589 EHR917588:EHR917589 ERN917588:ERN917589 FBJ917588:FBJ917589 FLF917588:FLF917589 FVB917588:FVB917589 GEX917588:GEX917589 GOT917588:GOT917589 GYP917588:GYP917589 HIL917588:HIL917589 HSH917588:HSH917589 ICD917588:ICD917589 ILZ917588:ILZ917589 IVV917588:IVV917589 JFR917588:JFR917589 JPN917588:JPN917589 JZJ917588:JZJ917589 KJF917588:KJF917589 KTB917588:KTB917589 LCX917588:LCX917589 LMT917588:LMT917589 LWP917588:LWP917589 MGL917588:MGL917589 MQH917588:MQH917589 NAD917588:NAD917589 NJZ917588:NJZ917589 NTV917588:NTV917589 ODR917588:ODR917589 ONN917588:ONN917589 OXJ917588:OXJ917589 PHF917588:PHF917589 PRB917588:PRB917589 QAX917588:QAX917589 QKT917588:QKT917589 QUP917588:QUP917589 REL917588:REL917589 ROH917588:ROH917589 RYD917588:RYD917589 SHZ917588:SHZ917589 SRV917588:SRV917589 TBR917588:TBR917589 TLN917588:TLN917589 TVJ917588:TVJ917589 UFF917588:UFF917589 UPB917588:UPB917589 UYX917588:UYX917589 VIT917588:VIT917589 VSP917588:VSP917589 WCL917588:WCL917589 WMH917588:WMH917589 WWD917588:WWD917589 V983124:V983125 JR983124:JR983125 TN983124:TN983125 ADJ983124:ADJ983125 ANF983124:ANF983125 AXB983124:AXB983125 BGX983124:BGX983125 BQT983124:BQT983125 CAP983124:CAP983125 CKL983124:CKL983125 CUH983124:CUH983125 DED983124:DED983125 DNZ983124:DNZ983125 DXV983124:DXV983125 EHR983124:EHR983125 ERN983124:ERN983125 FBJ983124:FBJ983125 FLF983124:FLF983125 FVB983124:FVB983125 GEX983124:GEX983125 GOT983124:GOT983125 GYP983124:GYP983125 HIL983124:HIL983125 HSH983124:HSH983125 ICD983124:ICD983125 ILZ983124:ILZ983125 IVV983124:IVV983125 JFR983124:JFR983125 JPN983124:JPN983125 JZJ983124:JZJ983125 KJF983124:KJF983125 KTB983124:KTB983125 LCX983124:LCX983125 LMT983124:LMT983125 LWP983124:LWP983125 MGL983124:MGL983125 MQH983124:MQH983125 NAD983124:NAD983125 NJZ983124:NJZ983125 NTV983124:NTV983125 ODR983124:ODR983125 ONN983124:ONN983125 OXJ983124:OXJ983125 PHF983124:PHF983125 PRB983124:PRB983125 QAX983124:QAX983125 QKT983124:QKT983125 QUP983124:QUP983125 REL983124:REL983125 ROH983124:ROH983125 RYD983124:RYD983125 SHZ983124:SHZ983125 SRV983124:SRV983125 TBR983124:TBR983125 TLN983124:TLN983125 TVJ983124:TVJ983125 UFF983124:UFF983125 UPB983124:UPB983125 UYX983124:UYX983125 VIT983124:VIT983125 VSP983124:VSP983125 WCL983124:WCL983125 WMH983124:WMH983125 WWD983124:WWD983125 AMY71:AMY77 JR84:JR86 TN84:TN86 ADJ84:ADJ86 ANF84:ANF86 AXB84:AXB86 BGX84:BGX86 BQT84:BQT86 CAP84:CAP86 CKL84:CKL86 CUH84:CUH86 DED84:DED86 DNZ84:DNZ86 DXV84:DXV86 EHR84:EHR86 ERN84:ERN86 FBJ84:FBJ86 FLF84:FLF86 FVB84:FVB86 GEX84:GEX86 GOT84:GOT86 GYP84:GYP86 HIL84:HIL86 HSH84:HSH86 ICD84:ICD86 ILZ84:ILZ86 IVV84:IVV86 JFR84:JFR86 JPN84:JPN86 JZJ84:JZJ86 KJF84:KJF86 KTB84:KTB86 LCX84:LCX86 LMT84:LMT86 LWP84:LWP86 MGL84:MGL86 MQH84:MQH86 NAD84:NAD86 NJZ84:NJZ86 NTV84:NTV86 ODR84:ODR86 ONN84:ONN86 OXJ84:OXJ86 PHF84:PHF86 PRB84:PRB86 QAX84:QAX86 QKT84:QKT86 QUP84:QUP86 REL84:REL86 ROH84:ROH86 RYD84:RYD86 SHZ84:SHZ86 SRV84:SRV86 TBR84:TBR86 TLN84:TLN86 TVJ84:TVJ86 UFF84:UFF86 UPB84:UPB86 UYX84:UYX86 VIT84:VIT86 VSP84:VSP86 WCL84:WCL86 WMH84:WMH86 WWD84:WWD86 V65623 JR65623 TN65623 ADJ65623 ANF65623 AXB65623 BGX65623 BQT65623 CAP65623 CKL65623 CUH65623 DED65623 DNZ65623 DXV65623 EHR65623 ERN65623 FBJ65623 FLF65623 FVB65623 GEX65623 GOT65623 GYP65623 HIL65623 HSH65623 ICD65623 ILZ65623 IVV65623 JFR65623 JPN65623 JZJ65623 KJF65623 KTB65623 LCX65623 LMT65623 LWP65623 MGL65623 MQH65623 NAD65623 NJZ65623 NTV65623 ODR65623 ONN65623 OXJ65623 PHF65623 PRB65623 QAX65623 QKT65623 QUP65623 REL65623 ROH65623 RYD65623 SHZ65623 SRV65623 TBR65623 TLN65623 TVJ65623 UFF65623 UPB65623 UYX65623 VIT65623 VSP65623 WCL65623 WMH65623 WWD65623 V131159 JR131159 TN131159 ADJ131159 ANF131159 AXB131159 BGX131159 BQT131159 CAP131159 CKL131159 CUH131159 DED131159 DNZ131159 DXV131159 EHR131159 ERN131159 FBJ131159 FLF131159 FVB131159 GEX131159 GOT131159 GYP131159 HIL131159 HSH131159 ICD131159 ILZ131159 IVV131159 JFR131159 JPN131159 JZJ131159 KJF131159 KTB131159 LCX131159 LMT131159 LWP131159 MGL131159 MQH131159 NAD131159 NJZ131159 NTV131159 ODR131159 ONN131159 OXJ131159 PHF131159 PRB131159 QAX131159 QKT131159 QUP131159 REL131159 ROH131159 RYD131159 SHZ131159 SRV131159 TBR131159 TLN131159 TVJ131159 UFF131159 UPB131159 UYX131159 VIT131159 VSP131159 WCL131159 WMH131159 WWD131159 V196695 JR196695 TN196695 ADJ196695 ANF196695 AXB196695 BGX196695 BQT196695 CAP196695 CKL196695 CUH196695 DED196695 DNZ196695 DXV196695 EHR196695 ERN196695 FBJ196695 FLF196695 FVB196695 GEX196695 GOT196695 GYP196695 HIL196695 HSH196695 ICD196695 ILZ196695 IVV196695 JFR196695 JPN196695 JZJ196695 KJF196695 KTB196695 LCX196695 LMT196695 LWP196695 MGL196695 MQH196695 NAD196695 NJZ196695 NTV196695 ODR196695 ONN196695 OXJ196695 PHF196695 PRB196695 QAX196695 QKT196695 QUP196695 REL196695 ROH196695 RYD196695 SHZ196695 SRV196695 TBR196695 TLN196695 TVJ196695 UFF196695 UPB196695 UYX196695 VIT196695 VSP196695 WCL196695 WMH196695 WWD196695 V262231 JR262231 TN262231 ADJ262231 ANF262231 AXB262231 BGX262231 BQT262231 CAP262231 CKL262231 CUH262231 DED262231 DNZ262231 DXV262231 EHR262231 ERN262231 FBJ262231 FLF262231 FVB262231 GEX262231 GOT262231 GYP262231 HIL262231 HSH262231 ICD262231 ILZ262231 IVV262231 JFR262231 JPN262231 JZJ262231 KJF262231 KTB262231 LCX262231 LMT262231 LWP262231 MGL262231 MQH262231 NAD262231 NJZ262231 NTV262231 ODR262231 ONN262231 OXJ262231 PHF262231 PRB262231 QAX262231 QKT262231 QUP262231 REL262231 ROH262231 RYD262231 SHZ262231 SRV262231 TBR262231 TLN262231 TVJ262231 UFF262231 UPB262231 UYX262231 VIT262231 VSP262231 WCL262231 WMH262231 WWD262231 V327767 JR327767 TN327767 ADJ327767 ANF327767 AXB327767 BGX327767 BQT327767 CAP327767 CKL327767 CUH327767 DED327767 DNZ327767 DXV327767 EHR327767 ERN327767 FBJ327767 FLF327767 FVB327767 GEX327767 GOT327767 GYP327767 HIL327767 HSH327767 ICD327767 ILZ327767 IVV327767 JFR327767 JPN327767 JZJ327767 KJF327767 KTB327767 LCX327767 LMT327767 LWP327767 MGL327767 MQH327767 NAD327767 NJZ327767 NTV327767 ODR327767 ONN327767 OXJ327767 PHF327767 PRB327767 QAX327767 QKT327767 QUP327767 REL327767 ROH327767 RYD327767 SHZ327767 SRV327767 TBR327767 TLN327767 TVJ327767 UFF327767 UPB327767 UYX327767 VIT327767 VSP327767 WCL327767 WMH327767 WWD327767 V393303 JR393303 TN393303 ADJ393303 ANF393303 AXB393303 BGX393303 BQT393303 CAP393303 CKL393303 CUH393303 DED393303 DNZ393303 DXV393303 EHR393303 ERN393303 FBJ393303 FLF393303 FVB393303 GEX393303 GOT393303 GYP393303 HIL393303 HSH393303 ICD393303 ILZ393303 IVV393303 JFR393303 JPN393303 JZJ393303 KJF393303 KTB393303 LCX393303 LMT393303 LWP393303 MGL393303 MQH393303 NAD393303 NJZ393303 NTV393303 ODR393303 ONN393303 OXJ393303 PHF393303 PRB393303 QAX393303 QKT393303 QUP393303 REL393303 ROH393303 RYD393303 SHZ393303 SRV393303 TBR393303 TLN393303 TVJ393303 UFF393303 UPB393303 UYX393303 VIT393303 VSP393303 WCL393303 WMH393303 WWD393303 V458839 JR458839 TN458839 ADJ458839 ANF458839 AXB458839 BGX458839 BQT458839 CAP458839 CKL458839 CUH458839 DED458839 DNZ458839 DXV458839 EHR458839 ERN458839 FBJ458839 FLF458839 FVB458839 GEX458839 GOT458839 GYP458839 HIL458839 HSH458839 ICD458839 ILZ458839 IVV458839 JFR458839 JPN458839 JZJ458839 KJF458839 KTB458839 LCX458839 LMT458839 LWP458839 MGL458839 MQH458839 NAD458839 NJZ458839 NTV458839 ODR458839 ONN458839 OXJ458839 PHF458839 PRB458839 QAX458839 QKT458839 QUP458839 REL458839 ROH458839 RYD458839 SHZ458839 SRV458839 TBR458839 TLN458839 TVJ458839 UFF458839 UPB458839 UYX458839 VIT458839 VSP458839 WCL458839 WMH458839 WWD458839 V524375 JR524375 TN524375 ADJ524375 ANF524375 AXB524375 BGX524375 BQT524375 CAP524375 CKL524375 CUH524375 DED524375 DNZ524375 DXV524375 EHR524375 ERN524375 FBJ524375 FLF524375 FVB524375 GEX524375 GOT524375 GYP524375 HIL524375 HSH524375 ICD524375 ILZ524375 IVV524375 JFR524375 JPN524375 JZJ524375 KJF524375 KTB524375 LCX524375 LMT524375 LWP524375 MGL524375 MQH524375 NAD524375 NJZ524375 NTV524375 ODR524375 ONN524375 OXJ524375 PHF524375 PRB524375 QAX524375 QKT524375 QUP524375 REL524375 ROH524375 RYD524375 SHZ524375 SRV524375 TBR524375 TLN524375 TVJ524375 UFF524375 UPB524375 UYX524375 VIT524375 VSP524375 WCL524375 WMH524375 WWD524375 V589911 JR589911 TN589911 ADJ589911 ANF589911 AXB589911 BGX589911 BQT589911 CAP589911 CKL589911 CUH589911 DED589911 DNZ589911 DXV589911 EHR589911 ERN589911 FBJ589911 FLF589911 FVB589911 GEX589911 GOT589911 GYP589911 HIL589911 HSH589911 ICD589911 ILZ589911 IVV589911 JFR589911 JPN589911 JZJ589911 KJF589911 KTB589911 LCX589911 LMT589911 LWP589911 MGL589911 MQH589911 NAD589911 NJZ589911 NTV589911 ODR589911 ONN589911 OXJ589911 PHF589911 PRB589911 QAX589911 QKT589911 QUP589911 REL589911 ROH589911 RYD589911 SHZ589911 SRV589911 TBR589911 TLN589911 TVJ589911 UFF589911 UPB589911 UYX589911 VIT589911 VSP589911 WCL589911 WMH589911 WWD589911 V655447 JR655447 TN655447 ADJ655447 ANF655447 AXB655447 BGX655447 BQT655447 CAP655447 CKL655447 CUH655447 DED655447 DNZ655447 DXV655447 EHR655447 ERN655447 FBJ655447 FLF655447 FVB655447 GEX655447 GOT655447 GYP655447 HIL655447 HSH655447 ICD655447 ILZ655447 IVV655447 JFR655447 JPN655447 JZJ655447 KJF655447 KTB655447 LCX655447 LMT655447 LWP655447 MGL655447 MQH655447 NAD655447 NJZ655447 NTV655447 ODR655447 ONN655447 OXJ655447 PHF655447 PRB655447 QAX655447 QKT655447 QUP655447 REL655447 ROH655447 RYD655447 SHZ655447 SRV655447 TBR655447 TLN655447 TVJ655447 UFF655447 UPB655447 UYX655447 VIT655447 VSP655447 WCL655447 WMH655447 WWD655447 V720983 JR720983 TN720983 ADJ720983 ANF720983 AXB720983 BGX720983 BQT720983 CAP720983 CKL720983 CUH720983 DED720983 DNZ720983 DXV720983 EHR720983 ERN720983 FBJ720983 FLF720983 FVB720983 GEX720983 GOT720983 GYP720983 HIL720983 HSH720983 ICD720983 ILZ720983 IVV720983 JFR720983 JPN720983 JZJ720983 KJF720983 KTB720983 LCX720983 LMT720983 LWP720983 MGL720983 MQH720983 NAD720983 NJZ720983 NTV720983 ODR720983 ONN720983 OXJ720983 PHF720983 PRB720983 QAX720983 QKT720983 QUP720983 REL720983 ROH720983 RYD720983 SHZ720983 SRV720983 TBR720983 TLN720983 TVJ720983 UFF720983 UPB720983 UYX720983 VIT720983 VSP720983 WCL720983 WMH720983 WWD720983 V786519 JR786519 TN786519 ADJ786519 ANF786519 AXB786519 BGX786519 BQT786519 CAP786519 CKL786519 CUH786519 DED786519 DNZ786519 DXV786519 EHR786519 ERN786519 FBJ786519 FLF786519 FVB786519 GEX786519 GOT786519 GYP786519 HIL786519 HSH786519 ICD786519 ILZ786519 IVV786519 JFR786519 JPN786519 JZJ786519 KJF786519 KTB786519 LCX786519 LMT786519 LWP786519 MGL786519 MQH786519 NAD786519 NJZ786519 NTV786519 ODR786519 ONN786519 OXJ786519 PHF786519 PRB786519 QAX786519 QKT786519 QUP786519 REL786519 ROH786519 RYD786519 SHZ786519 SRV786519 TBR786519 TLN786519 TVJ786519 UFF786519 UPB786519 UYX786519 VIT786519 VSP786519 WCL786519 WMH786519 WWD786519 V852055 JR852055 TN852055 ADJ852055 ANF852055 AXB852055 BGX852055 BQT852055 CAP852055 CKL852055 CUH852055 DED852055 DNZ852055 DXV852055 EHR852055 ERN852055 FBJ852055 FLF852055 FVB852055 GEX852055 GOT852055 GYP852055 HIL852055 HSH852055 ICD852055 ILZ852055 IVV852055 JFR852055 JPN852055 JZJ852055 KJF852055 KTB852055 LCX852055 LMT852055 LWP852055 MGL852055 MQH852055 NAD852055 NJZ852055 NTV852055 ODR852055 ONN852055 OXJ852055 PHF852055 PRB852055 QAX852055 QKT852055 QUP852055 REL852055 ROH852055 RYD852055 SHZ852055 SRV852055 TBR852055 TLN852055 TVJ852055 UFF852055 UPB852055 UYX852055 VIT852055 VSP852055 WCL852055 WMH852055 WWD852055 V917591 JR917591 TN917591 ADJ917591 ANF917591 AXB917591 BGX917591 BQT917591 CAP917591 CKL917591 CUH917591 DED917591 DNZ917591 DXV917591 EHR917591 ERN917591 FBJ917591 FLF917591 FVB917591 GEX917591 GOT917591 GYP917591 HIL917591 HSH917591 ICD917591 ILZ917591 IVV917591 JFR917591 JPN917591 JZJ917591 KJF917591 KTB917591 LCX917591 LMT917591 LWP917591 MGL917591 MQH917591 NAD917591 NJZ917591 NTV917591 ODR917591 ONN917591 OXJ917591 PHF917591 PRB917591 QAX917591 QKT917591 QUP917591 REL917591 ROH917591 RYD917591 SHZ917591 SRV917591 TBR917591 TLN917591 TVJ917591 UFF917591 UPB917591 UYX917591 VIT917591 VSP917591 WCL917591 WMH917591 WWD917591 V983127 JR983127 TN983127 ADJ983127 ANF983127 AXB983127 BGX983127 BQT983127 CAP983127 CKL983127 CUH983127 DED983127 DNZ983127 DXV983127 EHR983127 ERN983127 FBJ983127 FLF983127 FVB983127 GEX983127 GOT983127 GYP983127 HIL983127 HSH983127 ICD983127 ILZ983127 IVV983127 JFR983127 JPN983127 JZJ983127 KJF983127 KTB983127 LCX983127 LMT983127 LWP983127 MGL983127 MQH983127 NAD983127 NJZ983127 NTV983127 ODR983127 ONN983127 OXJ983127 PHF983127 PRB983127 QAX983127 QKT983127 QUP983127 REL983127 ROH983127 RYD983127 SHZ983127 SRV983127 TBR983127 TLN983127 TVJ983127 UFF983127 UPB983127 UYX983127 VIT983127 VSP983127 WCL983127 WMH983127 WWD983127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TKY983143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V65580 JR65580 TN65580 ADJ65580 ANF65580 AXB65580 BGX65580 BQT65580 CAP65580 CKL65580 CUH65580 DED65580 DNZ65580 DXV65580 EHR65580 ERN65580 FBJ65580 FLF65580 FVB65580 GEX65580 GOT65580 GYP65580 HIL65580 HSH65580 ICD65580 ILZ65580 IVV65580 JFR65580 JPN65580 JZJ65580 KJF65580 KTB65580 LCX65580 LMT65580 LWP65580 MGL65580 MQH65580 NAD65580 NJZ65580 NTV65580 ODR65580 ONN65580 OXJ65580 PHF65580 PRB65580 QAX65580 QKT65580 QUP65580 REL65580 ROH65580 RYD65580 SHZ65580 SRV65580 TBR65580 TLN65580 TVJ65580 UFF65580 UPB65580 UYX65580 VIT65580 VSP65580 WCL65580 WMH65580 WWD65580 V131116 JR131116 TN131116 ADJ131116 ANF131116 AXB131116 BGX131116 BQT131116 CAP131116 CKL131116 CUH131116 DED131116 DNZ131116 DXV131116 EHR131116 ERN131116 FBJ131116 FLF131116 FVB131116 GEX131116 GOT131116 GYP131116 HIL131116 HSH131116 ICD131116 ILZ131116 IVV131116 JFR131116 JPN131116 JZJ131116 KJF131116 KTB131116 LCX131116 LMT131116 LWP131116 MGL131116 MQH131116 NAD131116 NJZ131116 NTV131116 ODR131116 ONN131116 OXJ131116 PHF131116 PRB131116 QAX131116 QKT131116 QUP131116 REL131116 ROH131116 RYD131116 SHZ131116 SRV131116 TBR131116 TLN131116 TVJ131116 UFF131116 UPB131116 UYX131116 VIT131116 VSP131116 WCL131116 WMH131116 WWD131116 V196652 JR196652 TN196652 ADJ196652 ANF196652 AXB196652 BGX196652 BQT196652 CAP196652 CKL196652 CUH196652 DED196652 DNZ196652 DXV196652 EHR196652 ERN196652 FBJ196652 FLF196652 FVB196652 GEX196652 GOT196652 GYP196652 HIL196652 HSH196652 ICD196652 ILZ196652 IVV196652 JFR196652 JPN196652 JZJ196652 KJF196652 KTB196652 LCX196652 LMT196652 LWP196652 MGL196652 MQH196652 NAD196652 NJZ196652 NTV196652 ODR196652 ONN196652 OXJ196652 PHF196652 PRB196652 QAX196652 QKT196652 QUP196652 REL196652 ROH196652 RYD196652 SHZ196652 SRV196652 TBR196652 TLN196652 TVJ196652 UFF196652 UPB196652 UYX196652 VIT196652 VSP196652 WCL196652 WMH196652 WWD196652 V262188 JR262188 TN262188 ADJ262188 ANF262188 AXB262188 BGX262188 BQT262188 CAP262188 CKL262188 CUH262188 DED262188 DNZ262188 DXV262188 EHR262188 ERN262188 FBJ262188 FLF262188 FVB262188 GEX262188 GOT262188 GYP262188 HIL262188 HSH262188 ICD262188 ILZ262188 IVV262188 JFR262188 JPN262188 JZJ262188 KJF262188 KTB262188 LCX262188 LMT262188 LWP262188 MGL262188 MQH262188 NAD262188 NJZ262188 NTV262188 ODR262188 ONN262188 OXJ262188 PHF262188 PRB262188 QAX262188 QKT262188 QUP262188 REL262188 ROH262188 RYD262188 SHZ262188 SRV262188 TBR262188 TLN262188 TVJ262188 UFF262188 UPB262188 UYX262188 VIT262188 VSP262188 WCL262188 WMH262188 WWD262188 V327724 JR327724 TN327724 ADJ327724 ANF327724 AXB327724 BGX327724 BQT327724 CAP327724 CKL327724 CUH327724 DED327724 DNZ327724 DXV327724 EHR327724 ERN327724 FBJ327724 FLF327724 FVB327724 GEX327724 GOT327724 GYP327724 HIL327724 HSH327724 ICD327724 ILZ327724 IVV327724 JFR327724 JPN327724 JZJ327724 KJF327724 KTB327724 LCX327724 LMT327724 LWP327724 MGL327724 MQH327724 NAD327724 NJZ327724 NTV327724 ODR327724 ONN327724 OXJ327724 PHF327724 PRB327724 QAX327724 QKT327724 QUP327724 REL327724 ROH327724 RYD327724 SHZ327724 SRV327724 TBR327724 TLN327724 TVJ327724 UFF327724 UPB327724 UYX327724 VIT327724 VSP327724 WCL327724 WMH327724 WWD327724 V393260 JR393260 TN393260 ADJ393260 ANF393260 AXB393260 BGX393260 BQT393260 CAP393260 CKL393260 CUH393260 DED393260 DNZ393260 DXV393260 EHR393260 ERN393260 FBJ393260 FLF393260 FVB393260 GEX393260 GOT393260 GYP393260 HIL393260 HSH393260 ICD393260 ILZ393260 IVV393260 JFR393260 JPN393260 JZJ393260 KJF393260 KTB393260 LCX393260 LMT393260 LWP393260 MGL393260 MQH393260 NAD393260 NJZ393260 NTV393260 ODR393260 ONN393260 OXJ393260 PHF393260 PRB393260 QAX393260 QKT393260 QUP393260 REL393260 ROH393260 RYD393260 SHZ393260 SRV393260 TBR393260 TLN393260 TVJ393260 UFF393260 UPB393260 UYX393260 VIT393260 VSP393260 WCL393260 WMH393260 WWD393260 V458796 JR458796 TN458796 ADJ458796 ANF458796 AXB458796 BGX458796 BQT458796 CAP458796 CKL458796 CUH458796 DED458796 DNZ458796 DXV458796 EHR458796 ERN458796 FBJ458796 FLF458796 FVB458796 GEX458796 GOT458796 GYP458796 HIL458796 HSH458796 ICD458796 ILZ458796 IVV458796 JFR458796 JPN458796 JZJ458796 KJF458796 KTB458796 LCX458796 LMT458796 LWP458796 MGL458796 MQH458796 NAD458796 NJZ458796 NTV458796 ODR458796 ONN458796 OXJ458796 PHF458796 PRB458796 QAX458796 QKT458796 QUP458796 REL458796 ROH458796 RYD458796 SHZ458796 SRV458796 TBR458796 TLN458796 TVJ458796 UFF458796 UPB458796 UYX458796 VIT458796 VSP458796 WCL458796 WMH458796 WWD458796 V524332 JR524332 TN524332 ADJ524332 ANF524332 AXB524332 BGX524332 BQT524332 CAP524332 CKL524332 CUH524332 DED524332 DNZ524332 DXV524332 EHR524332 ERN524332 FBJ524332 FLF524332 FVB524332 GEX524332 GOT524332 GYP524332 HIL524332 HSH524332 ICD524332 ILZ524332 IVV524332 JFR524332 JPN524332 JZJ524332 KJF524332 KTB524332 LCX524332 LMT524332 LWP524332 MGL524332 MQH524332 NAD524332 NJZ524332 NTV524332 ODR524332 ONN524332 OXJ524332 PHF524332 PRB524332 QAX524332 QKT524332 QUP524332 REL524332 ROH524332 RYD524332 SHZ524332 SRV524332 TBR524332 TLN524332 TVJ524332 UFF524332 UPB524332 UYX524332 VIT524332 VSP524332 WCL524332 WMH524332 WWD524332 V589868 JR589868 TN589868 ADJ589868 ANF589868 AXB589868 BGX589868 BQT589868 CAP589868 CKL589868 CUH589868 DED589868 DNZ589868 DXV589868 EHR589868 ERN589868 FBJ589868 FLF589868 FVB589868 GEX589868 GOT589868 GYP589868 HIL589868 HSH589868 ICD589868 ILZ589868 IVV589868 JFR589868 JPN589868 JZJ589868 KJF589868 KTB589868 LCX589868 LMT589868 LWP589868 MGL589868 MQH589868 NAD589868 NJZ589868 NTV589868 ODR589868 ONN589868 OXJ589868 PHF589868 PRB589868 QAX589868 QKT589868 QUP589868 REL589868 ROH589868 RYD589868 SHZ589868 SRV589868 TBR589868 TLN589868 TVJ589868 UFF589868 UPB589868 UYX589868 VIT589868 VSP589868 WCL589868 WMH589868 WWD589868 V655404 JR655404 TN655404 ADJ655404 ANF655404 AXB655404 BGX655404 BQT655404 CAP655404 CKL655404 CUH655404 DED655404 DNZ655404 DXV655404 EHR655404 ERN655404 FBJ655404 FLF655404 FVB655404 GEX655404 GOT655404 GYP655404 HIL655404 HSH655404 ICD655404 ILZ655404 IVV655404 JFR655404 JPN655404 JZJ655404 KJF655404 KTB655404 LCX655404 LMT655404 LWP655404 MGL655404 MQH655404 NAD655404 NJZ655404 NTV655404 ODR655404 ONN655404 OXJ655404 PHF655404 PRB655404 QAX655404 QKT655404 QUP655404 REL655404 ROH655404 RYD655404 SHZ655404 SRV655404 TBR655404 TLN655404 TVJ655404 UFF655404 UPB655404 UYX655404 VIT655404 VSP655404 WCL655404 WMH655404 WWD655404 V720940 JR720940 TN720940 ADJ720940 ANF720940 AXB720940 BGX720940 BQT720940 CAP720940 CKL720940 CUH720940 DED720940 DNZ720940 DXV720940 EHR720940 ERN720940 FBJ720940 FLF720940 FVB720940 GEX720940 GOT720940 GYP720940 HIL720940 HSH720940 ICD720940 ILZ720940 IVV720940 JFR720940 JPN720940 JZJ720940 KJF720940 KTB720940 LCX720940 LMT720940 LWP720940 MGL720940 MQH720940 NAD720940 NJZ720940 NTV720940 ODR720940 ONN720940 OXJ720940 PHF720940 PRB720940 QAX720940 QKT720940 QUP720940 REL720940 ROH720940 RYD720940 SHZ720940 SRV720940 TBR720940 TLN720940 TVJ720940 UFF720940 UPB720940 UYX720940 VIT720940 VSP720940 WCL720940 WMH720940 WWD720940 V786476 JR786476 TN786476 ADJ786476 ANF786476 AXB786476 BGX786476 BQT786476 CAP786476 CKL786476 CUH786476 DED786476 DNZ786476 DXV786476 EHR786476 ERN786476 FBJ786476 FLF786476 FVB786476 GEX786476 GOT786476 GYP786476 HIL786476 HSH786476 ICD786476 ILZ786476 IVV786476 JFR786476 JPN786476 JZJ786476 KJF786476 KTB786476 LCX786476 LMT786476 LWP786476 MGL786476 MQH786476 NAD786476 NJZ786476 NTV786476 ODR786476 ONN786476 OXJ786476 PHF786476 PRB786476 QAX786476 QKT786476 QUP786476 REL786476 ROH786476 RYD786476 SHZ786476 SRV786476 TBR786476 TLN786476 TVJ786476 UFF786476 UPB786476 UYX786476 VIT786476 VSP786476 WCL786476 WMH786476 WWD786476 V852012 JR852012 TN852012 ADJ852012 ANF852012 AXB852012 BGX852012 BQT852012 CAP852012 CKL852012 CUH852012 DED852012 DNZ852012 DXV852012 EHR852012 ERN852012 FBJ852012 FLF852012 FVB852012 GEX852012 GOT852012 GYP852012 HIL852012 HSH852012 ICD852012 ILZ852012 IVV852012 JFR852012 JPN852012 JZJ852012 KJF852012 KTB852012 LCX852012 LMT852012 LWP852012 MGL852012 MQH852012 NAD852012 NJZ852012 NTV852012 ODR852012 ONN852012 OXJ852012 PHF852012 PRB852012 QAX852012 QKT852012 QUP852012 REL852012 ROH852012 RYD852012 SHZ852012 SRV852012 TBR852012 TLN852012 TVJ852012 UFF852012 UPB852012 UYX852012 VIT852012 VSP852012 WCL852012 WMH852012 WWD852012 V917548 JR917548 TN917548 ADJ917548 ANF917548 AXB917548 BGX917548 BQT917548 CAP917548 CKL917548 CUH917548 DED917548 DNZ917548 DXV917548 EHR917548 ERN917548 FBJ917548 FLF917548 FVB917548 GEX917548 GOT917548 GYP917548 HIL917548 HSH917548 ICD917548 ILZ917548 IVV917548 JFR917548 JPN917548 JZJ917548 KJF917548 KTB917548 LCX917548 LMT917548 LWP917548 MGL917548 MQH917548 NAD917548 NJZ917548 NTV917548 ODR917548 ONN917548 OXJ917548 PHF917548 PRB917548 QAX917548 QKT917548 QUP917548 REL917548 ROH917548 RYD917548 SHZ917548 SRV917548 TBR917548 TLN917548 TVJ917548 UFF917548 UPB917548 UYX917548 VIT917548 VSP917548 WCL917548 WMH917548 WWD917548 V983084 JR983084 TN983084 ADJ983084 ANF983084 AXB983084 BGX983084 BQT983084 CAP983084 CKL983084 CUH983084 DED983084 DNZ983084 DXV983084 EHR983084 ERN983084 FBJ983084 FLF983084 FVB983084 GEX983084 GOT983084 GYP983084 HIL983084 HSH983084 ICD983084 ILZ983084 IVV983084 JFR983084 JPN983084 JZJ983084 KJF983084 KTB983084 LCX983084 LMT983084 LWP983084 MGL983084 MQH983084 NAD983084 NJZ983084 NTV983084 ODR983084 ONN983084 OXJ983084 PHF983084 PRB983084 QAX983084 QKT983084 QUP983084 REL983084 ROH983084 RYD983084 SHZ983084 SRV983084 TBR983084 TLN983084 TVJ983084 UFF983084 UPB983084 UYX983084 VIT983084 VSP983084 WCL983084 WMH983084 WWD983084 UEQ983143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UOM983143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UYI983143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VIE983143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VSA983143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W65583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W131119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W196655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W262191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W327727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W393263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W458799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W524335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W589871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W655407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W720943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W786479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W852015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W917551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W983087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WBW983143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WLS983143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JB49:JB53 SX49:SX53 ACT49:ACT53 AMP49:AMP53 AWL49:AWL53 BGH49:BGH53 BQD49:BQD53 BZZ49:BZZ53 CJV49:CJV53 CTR49:CTR53 DDN49:DDN53 DNJ49:DNJ53 DXF49:DXF53 EHB49:EHB53 EQX49:EQX53 FAT49:FAT53 FKP49:FKP53 FUL49:FUL53 GEH49:GEH53 GOD49:GOD53 GXZ49:GXZ53 HHV49:HHV53 HRR49:HRR53 IBN49:IBN53 ILJ49:ILJ53 IVF49:IVF53 JFB49:JFB53 JOX49:JOX53 JYT49:JYT53 KIP49:KIP53 KSL49:KSL53 LCH49:LCH53 LMD49:LMD53 LVZ49:LVZ53 MFV49:MFV53 MPR49:MPR53 MZN49:MZN53 NJJ49:NJJ53 NTF49:NTF53 ODB49:ODB53 OMX49:OMX53 OWT49:OWT53 PGP49:PGP53 PQL49:PQL53 QAH49:QAH53 QKD49:QKD53 QTZ49:QTZ53 RDV49:RDV53 RNR49:RNR53 RXN49:RXN53 SHJ49:SHJ53 SRF49:SRF53 TBB49:TBB53 TKX49:TKX53 TUT49:TUT53 UEP49:UEP53 UOL49:UOL53 UYH49:UYH53 VID49:VID53 VRZ49:VRZ53 WBV49:WBV53 WLR49:WLR53 WVN49:WVN53 F65580:F65587 JB65580:JB65587 SX65580:SX65587 ACT65580:ACT65587 AMP65580:AMP65587 AWL65580:AWL65587 BGH65580:BGH65587 BQD65580:BQD65587 BZZ65580:BZZ65587 CJV65580:CJV65587 CTR65580:CTR65587 DDN65580:DDN65587 DNJ65580:DNJ65587 DXF65580:DXF65587 EHB65580:EHB65587 EQX65580:EQX65587 FAT65580:FAT65587 FKP65580:FKP65587 FUL65580:FUL65587 GEH65580:GEH65587 GOD65580:GOD65587 GXZ65580:GXZ65587 HHV65580:HHV65587 HRR65580:HRR65587 IBN65580:IBN65587 ILJ65580:ILJ65587 IVF65580:IVF65587 JFB65580:JFB65587 JOX65580:JOX65587 JYT65580:JYT65587 KIP65580:KIP65587 KSL65580:KSL65587 LCH65580:LCH65587 LMD65580:LMD65587 LVZ65580:LVZ65587 MFV65580:MFV65587 MPR65580:MPR65587 MZN65580:MZN65587 NJJ65580:NJJ65587 NTF65580:NTF65587 ODB65580:ODB65587 OMX65580:OMX65587 OWT65580:OWT65587 PGP65580:PGP65587 PQL65580:PQL65587 QAH65580:QAH65587 QKD65580:QKD65587 QTZ65580:QTZ65587 RDV65580:RDV65587 RNR65580:RNR65587 RXN65580:RXN65587 SHJ65580:SHJ65587 SRF65580:SRF65587 TBB65580:TBB65587 TKX65580:TKX65587 TUT65580:TUT65587 UEP65580:UEP65587 UOL65580:UOL65587 UYH65580:UYH65587 VID65580:VID65587 VRZ65580:VRZ65587 WBV65580:WBV65587 WLR65580:WLR65587 WVN65580:WVN65587 F131116:F131123 JB131116:JB131123 SX131116:SX131123 ACT131116:ACT131123 AMP131116:AMP131123 AWL131116:AWL131123 BGH131116:BGH131123 BQD131116:BQD131123 BZZ131116:BZZ131123 CJV131116:CJV131123 CTR131116:CTR131123 DDN131116:DDN131123 DNJ131116:DNJ131123 DXF131116:DXF131123 EHB131116:EHB131123 EQX131116:EQX131123 FAT131116:FAT131123 FKP131116:FKP131123 FUL131116:FUL131123 GEH131116:GEH131123 GOD131116:GOD131123 GXZ131116:GXZ131123 HHV131116:HHV131123 HRR131116:HRR131123 IBN131116:IBN131123 ILJ131116:ILJ131123 IVF131116:IVF131123 JFB131116:JFB131123 JOX131116:JOX131123 JYT131116:JYT131123 KIP131116:KIP131123 KSL131116:KSL131123 LCH131116:LCH131123 LMD131116:LMD131123 LVZ131116:LVZ131123 MFV131116:MFV131123 MPR131116:MPR131123 MZN131116:MZN131123 NJJ131116:NJJ131123 NTF131116:NTF131123 ODB131116:ODB131123 OMX131116:OMX131123 OWT131116:OWT131123 PGP131116:PGP131123 PQL131116:PQL131123 QAH131116:QAH131123 QKD131116:QKD131123 QTZ131116:QTZ131123 RDV131116:RDV131123 RNR131116:RNR131123 RXN131116:RXN131123 SHJ131116:SHJ131123 SRF131116:SRF131123 TBB131116:TBB131123 TKX131116:TKX131123 TUT131116:TUT131123 UEP131116:UEP131123 UOL131116:UOL131123 UYH131116:UYH131123 VID131116:VID131123 VRZ131116:VRZ131123 WBV131116:WBV131123 WLR131116:WLR131123 WVN131116:WVN131123 F196652:F196659 JB196652:JB196659 SX196652:SX196659 ACT196652:ACT196659 AMP196652:AMP196659 AWL196652:AWL196659 BGH196652:BGH196659 BQD196652:BQD196659 BZZ196652:BZZ196659 CJV196652:CJV196659 CTR196652:CTR196659 DDN196652:DDN196659 DNJ196652:DNJ196659 DXF196652:DXF196659 EHB196652:EHB196659 EQX196652:EQX196659 FAT196652:FAT196659 FKP196652:FKP196659 FUL196652:FUL196659 GEH196652:GEH196659 GOD196652:GOD196659 GXZ196652:GXZ196659 HHV196652:HHV196659 HRR196652:HRR196659 IBN196652:IBN196659 ILJ196652:ILJ196659 IVF196652:IVF196659 JFB196652:JFB196659 JOX196652:JOX196659 JYT196652:JYT196659 KIP196652:KIP196659 KSL196652:KSL196659 LCH196652:LCH196659 LMD196652:LMD196659 LVZ196652:LVZ196659 MFV196652:MFV196659 MPR196652:MPR196659 MZN196652:MZN196659 NJJ196652:NJJ196659 NTF196652:NTF196659 ODB196652:ODB196659 OMX196652:OMX196659 OWT196652:OWT196659 PGP196652:PGP196659 PQL196652:PQL196659 QAH196652:QAH196659 QKD196652:QKD196659 QTZ196652:QTZ196659 RDV196652:RDV196659 RNR196652:RNR196659 RXN196652:RXN196659 SHJ196652:SHJ196659 SRF196652:SRF196659 TBB196652:TBB196659 TKX196652:TKX196659 TUT196652:TUT196659 UEP196652:UEP196659 UOL196652:UOL196659 UYH196652:UYH196659 VID196652:VID196659 VRZ196652:VRZ196659 WBV196652:WBV196659 WLR196652:WLR196659 WVN196652:WVN196659 F262188:F262195 JB262188:JB262195 SX262188:SX262195 ACT262188:ACT262195 AMP262188:AMP262195 AWL262188:AWL262195 BGH262188:BGH262195 BQD262188:BQD262195 BZZ262188:BZZ262195 CJV262188:CJV262195 CTR262188:CTR262195 DDN262188:DDN262195 DNJ262188:DNJ262195 DXF262188:DXF262195 EHB262188:EHB262195 EQX262188:EQX262195 FAT262188:FAT262195 FKP262188:FKP262195 FUL262188:FUL262195 GEH262188:GEH262195 GOD262188:GOD262195 GXZ262188:GXZ262195 HHV262188:HHV262195 HRR262188:HRR262195 IBN262188:IBN262195 ILJ262188:ILJ262195 IVF262188:IVF262195 JFB262188:JFB262195 JOX262188:JOX262195 JYT262188:JYT262195 KIP262188:KIP262195 KSL262188:KSL262195 LCH262188:LCH262195 LMD262188:LMD262195 LVZ262188:LVZ262195 MFV262188:MFV262195 MPR262188:MPR262195 MZN262188:MZN262195 NJJ262188:NJJ262195 NTF262188:NTF262195 ODB262188:ODB262195 OMX262188:OMX262195 OWT262188:OWT262195 PGP262188:PGP262195 PQL262188:PQL262195 QAH262188:QAH262195 QKD262188:QKD262195 QTZ262188:QTZ262195 RDV262188:RDV262195 RNR262188:RNR262195 RXN262188:RXN262195 SHJ262188:SHJ262195 SRF262188:SRF262195 TBB262188:TBB262195 TKX262188:TKX262195 TUT262188:TUT262195 UEP262188:UEP262195 UOL262188:UOL262195 UYH262188:UYH262195 VID262188:VID262195 VRZ262188:VRZ262195 WBV262188:WBV262195 WLR262188:WLR262195 WVN262188:WVN262195 F327724:F327731 JB327724:JB327731 SX327724:SX327731 ACT327724:ACT327731 AMP327724:AMP327731 AWL327724:AWL327731 BGH327724:BGH327731 BQD327724:BQD327731 BZZ327724:BZZ327731 CJV327724:CJV327731 CTR327724:CTR327731 DDN327724:DDN327731 DNJ327724:DNJ327731 DXF327724:DXF327731 EHB327724:EHB327731 EQX327724:EQX327731 FAT327724:FAT327731 FKP327724:FKP327731 FUL327724:FUL327731 GEH327724:GEH327731 GOD327724:GOD327731 GXZ327724:GXZ327731 HHV327724:HHV327731 HRR327724:HRR327731 IBN327724:IBN327731 ILJ327724:ILJ327731 IVF327724:IVF327731 JFB327724:JFB327731 JOX327724:JOX327731 JYT327724:JYT327731 KIP327724:KIP327731 KSL327724:KSL327731 LCH327724:LCH327731 LMD327724:LMD327731 LVZ327724:LVZ327731 MFV327724:MFV327731 MPR327724:MPR327731 MZN327724:MZN327731 NJJ327724:NJJ327731 NTF327724:NTF327731 ODB327724:ODB327731 OMX327724:OMX327731 OWT327724:OWT327731 PGP327724:PGP327731 PQL327724:PQL327731 QAH327724:QAH327731 QKD327724:QKD327731 QTZ327724:QTZ327731 RDV327724:RDV327731 RNR327724:RNR327731 RXN327724:RXN327731 SHJ327724:SHJ327731 SRF327724:SRF327731 TBB327724:TBB327731 TKX327724:TKX327731 TUT327724:TUT327731 UEP327724:UEP327731 UOL327724:UOL327731 UYH327724:UYH327731 VID327724:VID327731 VRZ327724:VRZ327731 WBV327724:WBV327731 WLR327724:WLR327731 WVN327724:WVN327731 F393260:F393267 JB393260:JB393267 SX393260:SX393267 ACT393260:ACT393267 AMP393260:AMP393267 AWL393260:AWL393267 BGH393260:BGH393267 BQD393260:BQD393267 BZZ393260:BZZ393267 CJV393260:CJV393267 CTR393260:CTR393267 DDN393260:DDN393267 DNJ393260:DNJ393267 DXF393260:DXF393267 EHB393260:EHB393267 EQX393260:EQX393267 FAT393260:FAT393267 FKP393260:FKP393267 FUL393260:FUL393267 GEH393260:GEH393267 GOD393260:GOD393267 GXZ393260:GXZ393267 HHV393260:HHV393267 HRR393260:HRR393267 IBN393260:IBN393267 ILJ393260:ILJ393267 IVF393260:IVF393267 JFB393260:JFB393267 JOX393260:JOX393267 JYT393260:JYT393267 KIP393260:KIP393267 KSL393260:KSL393267 LCH393260:LCH393267 LMD393260:LMD393267 LVZ393260:LVZ393267 MFV393260:MFV393267 MPR393260:MPR393267 MZN393260:MZN393267 NJJ393260:NJJ393267 NTF393260:NTF393267 ODB393260:ODB393267 OMX393260:OMX393267 OWT393260:OWT393267 PGP393260:PGP393267 PQL393260:PQL393267 QAH393260:QAH393267 QKD393260:QKD393267 QTZ393260:QTZ393267 RDV393260:RDV393267 RNR393260:RNR393267 RXN393260:RXN393267 SHJ393260:SHJ393267 SRF393260:SRF393267 TBB393260:TBB393267 TKX393260:TKX393267 TUT393260:TUT393267 UEP393260:UEP393267 UOL393260:UOL393267 UYH393260:UYH393267 VID393260:VID393267 VRZ393260:VRZ393267 WBV393260:WBV393267 WLR393260:WLR393267 WVN393260:WVN393267 F458796:F458803 JB458796:JB458803 SX458796:SX458803 ACT458796:ACT458803 AMP458796:AMP458803 AWL458796:AWL458803 BGH458796:BGH458803 BQD458796:BQD458803 BZZ458796:BZZ458803 CJV458796:CJV458803 CTR458796:CTR458803 DDN458796:DDN458803 DNJ458796:DNJ458803 DXF458796:DXF458803 EHB458796:EHB458803 EQX458796:EQX458803 FAT458796:FAT458803 FKP458796:FKP458803 FUL458796:FUL458803 GEH458796:GEH458803 GOD458796:GOD458803 GXZ458796:GXZ458803 HHV458796:HHV458803 HRR458796:HRR458803 IBN458796:IBN458803 ILJ458796:ILJ458803 IVF458796:IVF458803 JFB458796:JFB458803 JOX458796:JOX458803 JYT458796:JYT458803 KIP458796:KIP458803 KSL458796:KSL458803 LCH458796:LCH458803 LMD458796:LMD458803 LVZ458796:LVZ458803 MFV458796:MFV458803 MPR458796:MPR458803 MZN458796:MZN458803 NJJ458796:NJJ458803 NTF458796:NTF458803 ODB458796:ODB458803 OMX458796:OMX458803 OWT458796:OWT458803 PGP458796:PGP458803 PQL458796:PQL458803 QAH458796:QAH458803 QKD458796:QKD458803 QTZ458796:QTZ458803 RDV458796:RDV458803 RNR458796:RNR458803 RXN458796:RXN458803 SHJ458796:SHJ458803 SRF458796:SRF458803 TBB458796:TBB458803 TKX458796:TKX458803 TUT458796:TUT458803 UEP458796:UEP458803 UOL458796:UOL458803 UYH458796:UYH458803 VID458796:VID458803 VRZ458796:VRZ458803 WBV458796:WBV458803 WLR458796:WLR458803 WVN458796:WVN458803 F524332:F524339 JB524332:JB524339 SX524332:SX524339 ACT524332:ACT524339 AMP524332:AMP524339 AWL524332:AWL524339 BGH524332:BGH524339 BQD524332:BQD524339 BZZ524332:BZZ524339 CJV524332:CJV524339 CTR524332:CTR524339 DDN524332:DDN524339 DNJ524332:DNJ524339 DXF524332:DXF524339 EHB524332:EHB524339 EQX524332:EQX524339 FAT524332:FAT524339 FKP524332:FKP524339 FUL524332:FUL524339 GEH524332:GEH524339 GOD524332:GOD524339 GXZ524332:GXZ524339 HHV524332:HHV524339 HRR524332:HRR524339 IBN524332:IBN524339 ILJ524332:ILJ524339 IVF524332:IVF524339 JFB524332:JFB524339 JOX524332:JOX524339 JYT524332:JYT524339 KIP524332:KIP524339 KSL524332:KSL524339 LCH524332:LCH524339 LMD524332:LMD524339 LVZ524332:LVZ524339 MFV524332:MFV524339 MPR524332:MPR524339 MZN524332:MZN524339 NJJ524332:NJJ524339 NTF524332:NTF524339 ODB524332:ODB524339 OMX524332:OMX524339 OWT524332:OWT524339 PGP524332:PGP524339 PQL524332:PQL524339 QAH524332:QAH524339 QKD524332:QKD524339 QTZ524332:QTZ524339 RDV524332:RDV524339 RNR524332:RNR524339 RXN524332:RXN524339 SHJ524332:SHJ524339 SRF524332:SRF524339 TBB524332:TBB524339 TKX524332:TKX524339 TUT524332:TUT524339 UEP524332:UEP524339 UOL524332:UOL524339 UYH524332:UYH524339 VID524332:VID524339 VRZ524332:VRZ524339 WBV524332:WBV524339 WLR524332:WLR524339 WVN524332:WVN524339 F589868:F589875 JB589868:JB589875 SX589868:SX589875 ACT589868:ACT589875 AMP589868:AMP589875 AWL589868:AWL589875 BGH589868:BGH589875 BQD589868:BQD589875 BZZ589868:BZZ589875 CJV589868:CJV589875 CTR589868:CTR589875 DDN589868:DDN589875 DNJ589868:DNJ589875 DXF589868:DXF589875 EHB589868:EHB589875 EQX589868:EQX589875 FAT589868:FAT589875 FKP589868:FKP589875 FUL589868:FUL589875 GEH589868:GEH589875 GOD589868:GOD589875 GXZ589868:GXZ589875 HHV589868:HHV589875 HRR589868:HRR589875 IBN589868:IBN589875 ILJ589868:ILJ589875 IVF589868:IVF589875 JFB589868:JFB589875 JOX589868:JOX589875 JYT589868:JYT589875 KIP589868:KIP589875 KSL589868:KSL589875 LCH589868:LCH589875 LMD589868:LMD589875 LVZ589868:LVZ589875 MFV589868:MFV589875 MPR589868:MPR589875 MZN589868:MZN589875 NJJ589868:NJJ589875 NTF589868:NTF589875 ODB589868:ODB589875 OMX589868:OMX589875 OWT589868:OWT589875 PGP589868:PGP589875 PQL589868:PQL589875 QAH589868:QAH589875 QKD589868:QKD589875 QTZ589868:QTZ589875 RDV589868:RDV589875 RNR589868:RNR589875 RXN589868:RXN589875 SHJ589868:SHJ589875 SRF589868:SRF589875 TBB589868:TBB589875 TKX589868:TKX589875 TUT589868:TUT589875 UEP589868:UEP589875 UOL589868:UOL589875 UYH589868:UYH589875 VID589868:VID589875 VRZ589868:VRZ589875 WBV589868:WBV589875 WLR589868:WLR589875 WVN589868:WVN589875 F655404:F655411 JB655404:JB655411 SX655404:SX655411 ACT655404:ACT655411 AMP655404:AMP655411 AWL655404:AWL655411 BGH655404:BGH655411 BQD655404:BQD655411 BZZ655404:BZZ655411 CJV655404:CJV655411 CTR655404:CTR655411 DDN655404:DDN655411 DNJ655404:DNJ655411 DXF655404:DXF655411 EHB655404:EHB655411 EQX655404:EQX655411 FAT655404:FAT655411 FKP655404:FKP655411 FUL655404:FUL655411 GEH655404:GEH655411 GOD655404:GOD655411 GXZ655404:GXZ655411 HHV655404:HHV655411 HRR655404:HRR655411 IBN655404:IBN655411 ILJ655404:ILJ655411 IVF655404:IVF655411 JFB655404:JFB655411 JOX655404:JOX655411 JYT655404:JYT655411 KIP655404:KIP655411 KSL655404:KSL655411 LCH655404:LCH655411 LMD655404:LMD655411 LVZ655404:LVZ655411 MFV655404:MFV655411 MPR655404:MPR655411 MZN655404:MZN655411 NJJ655404:NJJ655411 NTF655404:NTF655411 ODB655404:ODB655411 OMX655404:OMX655411 OWT655404:OWT655411 PGP655404:PGP655411 PQL655404:PQL655411 QAH655404:QAH655411 QKD655404:QKD655411 QTZ655404:QTZ655411 RDV655404:RDV655411 RNR655404:RNR655411 RXN655404:RXN655411 SHJ655404:SHJ655411 SRF655404:SRF655411 TBB655404:TBB655411 TKX655404:TKX655411 TUT655404:TUT655411 UEP655404:UEP655411 UOL655404:UOL655411 UYH655404:UYH655411 VID655404:VID655411 VRZ655404:VRZ655411 WBV655404:WBV655411 WLR655404:WLR655411 WVN655404:WVN655411 F720940:F720947 JB720940:JB720947 SX720940:SX720947 ACT720940:ACT720947 AMP720940:AMP720947 AWL720940:AWL720947 BGH720940:BGH720947 BQD720940:BQD720947 BZZ720940:BZZ720947 CJV720940:CJV720947 CTR720940:CTR720947 DDN720940:DDN720947 DNJ720940:DNJ720947 DXF720940:DXF720947 EHB720940:EHB720947 EQX720940:EQX720947 FAT720940:FAT720947 FKP720940:FKP720947 FUL720940:FUL720947 GEH720940:GEH720947 GOD720940:GOD720947 GXZ720940:GXZ720947 HHV720940:HHV720947 HRR720940:HRR720947 IBN720940:IBN720947 ILJ720940:ILJ720947 IVF720940:IVF720947 JFB720940:JFB720947 JOX720940:JOX720947 JYT720940:JYT720947 KIP720940:KIP720947 KSL720940:KSL720947 LCH720940:LCH720947 LMD720940:LMD720947 LVZ720940:LVZ720947 MFV720940:MFV720947 MPR720940:MPR720947 MZN720940:MZN720947 NJJ720940:NJJ720947 NTF720940:NTF720947 ODB720940:ODB720947 OMX720940:OMX720947 OWT720940:OWT720947 PGP720940:PGP720947 PQL720940:PQL720947 QAH720940:QAH720947 QKD720940:QKD720947 QTZ720940:QTZ720947 RDV720940:RDV720947 RNR720940:RNR720947 RXN720940:RXN720947 SHJ720940:SHJ720947 SRF720940:SRF720947 TBB720940:TBB720947 TKX720940:TKX720947 TUT720940:TUT720947 UEP720940:UEP720947 UOL720940:UOL720947 UYH720940:UYH720947 VID720940:VID720947 VRZ720940:VRZ720947 WBV720940:WBV720947 WLR720940:WLR720947 WVN720940:WVN720947 F786476:F786483 JB786476:JB786483 SX786476:SX786483 ACT786476:ACT786483 AMP786476:AMP786483 AWL786476:AWL786483 BGH786476:BGH786483 BQD786476:BQD786483 BZZ786476:BZZ786483 CJV786476:CJV786483 CTR786476:CTR786483 DDN786476:DDN786483 DNJ786476:DNJ786483 DXF786476:DXF786483 EHB786476:EHB786483 EQX786476:EQX786483 FAT786476:FAT786483 FKP786476:FKP786483 FUL786476:FUL786483 GEH786476:GEH786483 GOD786476:GOD786483 GXZ786476:GXZ786483 HHV786476:HHV786483 HRR786476:HRR786483 IBN786476:IBN786483 ILJ786476:ILJ786483 IVF786476:IVF786483 JFB786476:JFB786483 JOX786476:JOX786483 JYT786476:JYT786483 KIP786476:KIP786483 KSL786476:KSL786483 LCH786476:LCH786483 LMD786476:LMD786483 LVZ786476:LVZ786483 MFV786476:MFV786483 MPR786476:MPR786483 MZN786476:MZN786483 NJJ786476:NJJ786483 NTF786476:NTF786483 ODB786476:ODB786483 OMX786476:OMX786483 OWT786476:OWT786483 PGP786476:PGP786483 PQL786476:PQL786483 QAH786476:QAH786483 QKD786476:QKD786483 QTZ786476:QTZ786483 RDV786476:RDV786483 RNR786476:RNR786483 RXN786476:RXN786483 SHJ786476:SHJ786483 SRF786476:SRF786483 TBB786476:TBB786483 TKX786476:TKX786483 TUT786476:TUT786483 UEP786476:UEP786483 UOL786476:UOL786483 UYH786476:UYH786483 VID786476:VID786483 VRZ786476:VRZ786483 WBV786476:WBV786483 WLR786476:WLR786483 WVN786476:WVN786483 F852012:F852019 JB852012:JB852019 SX852012:SX852019 ACT852012:ACT852019 AMP852012:AMP852019 AWL852012:AWL852019 BGH852012:BGH852019 BQD852012:BQD852019 BZZ852012:BZZ852019 CJV852012:CJV852019 CTR852012:CTR852019 DDN852012:DDN852019 DNJ852012:DNJ852019 DXF852012:DXF852019 EHB852012:EHB852019 EQX852012:EQX852019 FAT852012:FAT852019 FKP852012:FKP852019 FUL852012:FUL852019 GEH852012:GEH852019 GOD852012:GOD852019 GXZ852012:GXZ852019 HHV852012:HHV852019 HRR852012:HRR852019 IBN852012:IBN852019 ILJ852012:ILJ852019 IVF852012:IVF852019 JFB852012:JFB852019 JOX852012:JOX852019 JYT852012:JYT852019 KIP852012:KIP852019 KSL852012:KSL852019 LCH852012:LCH852019 LMD852012:LMD852019 LVZ852012:LVZ852019 MFV852012:MFV852019 MPR852012:MPR852019 MZN852012:MZN852019 NJJ852012:NJJ852019 NTF852012:NTF852019 ODB852012:ODB852019 OMX852012:OMX852019 OWT852012:OWT852019 PGP852012:PGP852019 PQL852012:PQL852019 QAH852012:QAH852019 QKD852012:QKD852019 QTZ852012:QTZ852019 RDV852012:RDV852019 RNR852012:RNR852019 RXN852012:RXN852019 SHJ852012:SHJ852019 SRF852012:SRF852019 TBB852012:TBB852019 TKX852012:TKX852019 TUT852012:TUT852019 UEP852012:UEP852019 UOL852012:UOL852019 UYH852012:UYH852019 VID852012:VID852019 VRZ852012:VRZ852019 WBV852012:WBV852019 WLR852012:WLR852019 WVN852012:WVN852019 F917548:F917555 JB917548:JB917555 SX917548:SX917555 ACT917548:ACT917555 AMP917548:AMP917555 AWL917548:AWL917555 BGH917548:BGH917555 BQD917548:BQD917555 BZZ917548:BZZ917555 CJV917548:CJV917555 CTR917548:CTR917555 DDN917548:DDN917555 DNJ917548:DNJ917555 DXF917548:DXF917555 EHB917548:EHB917555 EQX917548:EQX917555 FAT917548:FAT917555 FKP917548:FKP917555 FUL917548:FUL917555 GEH917548:GEH917555 GOD917548:GOD917555 GXZ917548:GXZ917555 HHV917548:HHV917555 HRR917548:HRR917555 IBN917548:IBN917555 ILJ917548:ILJ917555 IVF917548:IVF917555 JFB917548:JFB917555 JOX917548:JOX917555 JYT917548:JYT917555 KIP917548:KIP917555 KSL917548:KSL917555 LCH917548:LCH917555 LMD917548:LMD917555 LVZ917548:LVZ917555 MFV917548:MFV917555 MPR917548:MPR917555 MZN917548:MZN917555 NJJ917548:NJJ917555 NTF917548:NTF917555 ODB917548:ODB917555 OMX917548:OMX917555 OWT917548:OWT917555 PGP917548:PGP917555 PQL917548:PQL917555 QAH917548:QAH917555 QKD917548:QKD917555 QTZ917548:QTZ917555 RDV917548:RDV917555 RNR917548:RNR917555 RXN917548:RXN917555 SHJ917548:SHJ917555 SRF917548:SRF917555 TBB917548:TBB917555 TKX917548:TKX917555 TUT917548:TUT917555 UEP917548:UEP917555 UOL917548:UOL917555 UYH917548:UYH917555 VID917548:VID917555 VRZ917548:VRZ917555 WBV917548:WBV917555 WLR917548:WLR917555 WVN917548:WVN917555 F983084:F983091 JB983084:JB983091 SX983084:SX983091 ACT983084:ACT983091 AMP983084:AMP983091 AWL983084:AWL983091 BGH983084:BGH983091 BQD983084:BQD983091 BZZ983084:BZZ983091 CJV983084:CJV983091 CTR983084:CTR983091 DDN983084:DDN983091 DNJ983084:DNJ983091 DXF983084:DXF983091 EHB983084:EHB983091 EQX983084:EQX983091 FAT983084:FAT983091 FKP983084:FKP983091 FUL983084:FUL983091 GEH983084:GEH983091 GOD983084:GOD983091 GXZ983084:GXZ983091 HHV983084:HHV983091 HRR983084:HRR983091 IBN983084:IBN983091 ILJ983084:ILJ983091 IVF983084:IVF983091 JFB983084:JFB983091 JOX983084:JOX983091 JYT983084:JYT983091 KIP983084:KIP983091 KSL983084:KSL983091 LCH983084:LCH983091 LMD983084:LMD983091 LVZ983084:LVZ983091 MFV983084:MFV983091 MPR983084:MPR983091 MZN983084:MZN983091 NJJ983084:NJJ983091 NTF983084:NTF983091 ODB983084:ODB983091 OMX983084:OMX983091 OWT983084:OWT983091 PGP983084:PGP983091 PQL983084:PQL983091 QAH983084:QAH983091 QKD983084:QKD983091 QTZ983084:QTZ983091 RDV983084:RDV983091 RNR983084:RNR983091 RXN983084:RXN983091 SHJ983084:SHJ983091 SRF983084:SRF983091 TBB983084:TBB983091 TKX983084:TKX983091 TUT983084:TUT983091 UEP983084:UEP983091 UOL983084:UOL983091 UYH983084:UYH983091 VID983084:VID983091 VRZ983084:VRZ983091 WBV983084:WBV983091 WLR983084:WLR983091 WVN983084:WVN983091 WVO983143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TUU983143 O65586:O65587 JK65586:JK65587 TG65586:TG65587 ADC65586:ADC65587 AMY65586:AMY65587 AWU65586:AWU65587 BGQ65586:BGQ65587 BQM65586:BQM65587 CAI65586:CAI65587 CKE65586:CKE65587 CUA65586:CUA65587 DDW65586:DDW65587 DNS65586:DNS65587 DXO65586:DXO65587 EHK65586:EHK65587 ERG65586:ERG65587 FBC65586:FBC65587 FKY65586:FKY65587 FUU65586:FUU65587 GEQ65586:GEQ65587 GOM65586:GOM65587 GYI65586:GYI65587 HIE65586:HIE65587 HSA65586:HSA65587 IBW65586:IBW65587 ILS65586:ILS65587 IVO65586:IVO65587 JFK65586:JFK65587 JPG65586:JPG65587 JZC65586:JZC65587 KIY65586:KIY65587 KSU65586:KSU65587 LCQ65586:LCQ65587 LMM65586:LMM65587 LWI65586:LWI65587 MGE65586:MGE65587 MQA65586:MQA65587 MZW65586:MZW65587 NJS65586:NJS65587 NTO65586:NTO65587 ODK65586:ODK65587 ONG65586:ONG65587 OXC65586:OXC65587 PGY65586:PGY65587 PQU65586:PQU65587 QAQ65586:QAQ65587 QKM65586:QKM65587 QUI65586:QUI65587 REE65586:REE65587 ROA65586:ROA65587 RXW65586:RXW65587 SHS65586:SHS65587 SRO65586:SRO65587 TBK65586:TBK65587 TLG65586:TLG65587 TVC65586:TVC65587 UEY65586:UEY65587 UOU65586:UOU65587 UYQ65586:UYQ65587 VIM65586:VIM65587 VSI65586:VSI65587 WCE65586:WCE65587 WMA65586:WMA65587 WVW65586:WVW65587 O131122:O131123 JK131122:JK131123 TG131122:TG131123 ADC131122:ADC131123 AMY131122:AMY131123 AWU131122:AWU131123 BGQ131122:BGQ131123 BQM131122:BQM131123 CAI131122:CAI131123 CKE131122:CKE131123 CUA131122:CUA131123 DDW131122:DDW131123 DNS131122:DNS131123 DXO131122:DXO131123 EHK131122:EHK131123 ERG131122:ERG131123 FBC131122:FBC131123 FKY131122:FKY131123 FUU131122:FUU131123 GEQ131122:GEQ131123 GOM131122:GOM131123 GYI131122:GYI131123 HIE131122:HIE131123 HSA131122:HSA131123 IBW131122:IBW131123 ILS131122:ILS131123 IVO131122:IVO131123 JFK131122:JFK131123 JPG131122:JPG131123 JZC131122:JZC131123 KIY131122:KIY131123 KSU131122:KSU131123 LCQ131122:LCQ131123 LMM131122:LMM131123 LWI131122:LWI131123 MGE131122:MGE131123 MQA131122:MQA131123 MZW131122:MZW131123 NJS131122:NJS131123 NTO131122:NTO131123 ODK131122:ODK131123 ONG131122:ONG131123 OXC131122:OXC131123 PGY131122:PGY131123 PQU131122:PQU131123 QAQ131122:QAQ131123 QKM131122:QKM131123 QUI131122:QUI131123 REE131122:REE131123 ROA131122:ROA131123 RXW131122:RXW131123 SHS131122:SHS131123 SRO131122:SRO131123 TBK131122:TBK131123 TLG131122:TLG131123 TVC131122:TVC131123 UEY131122:UEY131123 UOU131122:UOU131123 UYQ131122:UYQ131123 VIM131122:VIM131123 VSI131122:VSI131123 WCE131122:WCE131123 WMA131122:WMA131123 WVW131122:WVW131123 O196658:O196659 JK196658:JK196659 TG196658:TG196659 ADC196658:ADC196659 AMY196658:AMY196659 AWU196658:AWU196659 BGQ196658:BGQ196659 BQM196658:BQM196659 CAI196658:CAI196659 CKE196658:CKE196659 CUA196658:CUA196659 DDW196658:DDW196659 DNS196658:DNS196659 DXO196658:DXO196659 EHK196658:EHK196659 ERG196658:ERG196659 FBC196658:FBC196659 FKY196658:FKY196659 FUU196658:FUU196659 GEQ196658:GEQ196659 GOM196658:GOM196659 GYI196658:GYI196659 HIE196658:HIE196659 HSA196658:HSA196659 IBW196658:IBW196659 ILS196658:ILS196659 IVO196658:IVO196659 JFK196658:JFK196659 JPG196658:JPG196659 JZC196658:JZC196659 KIY196658:KIY196659 KSU196658:KSU196659 LCQ196658:LCQ196659 LMM196658:LMM196659 LWI196658:LWI196659 MGE196658:MGE196659 MQA196658:MQA196659 MZW196658:MZW196659 NJS196658:NJS196659 NTO196658:NTO196659 ODK196658:ODK196659 ONG196658:ONG196659 OXC196658:OXC196659 PGY196658:PGY196659 PQU196658:PQU196659 QAQ196658:QAQ196659 QKM196658:QKM196659 QUI196658:QUI196659 REE196658:REE196659 ROA196658:ROA196659 RXW196658:RXW196659 SHS196658:SHS196659 SRO196658:SRO196659 TBK196658:TBK196659 TLG196658:TLG196659 TVC196658:TVC196659 UEY196658:UEY196659 UOU196658:UOU196659 UYQ196658:UYQ196659 VIM196658:VIM196659 VSI196658:VSI196659 WCE196658:WCE196659 WMA196658:WMA196659 WVW196658:WVW196659 O262194:O262195 JK262194:JK262195 TG262194:TG262195 ADC262194:ADC262195 AMY262194:AMY262195 AWU262194:AWU262195 BGQ262194:BGQ262195 BQM262194:BQM262195 CAI262194:CAI262195 CKE262194:CKE262195 CUA262194:CUA262195 DDW262194:DDW262195 DNS262194:DNS262195 DXO262194:DXO262195 EHK262194:EHK262195 ERG262194:ERG262195 FBC262194:FBC262195 FKY262194:FKY262195 FUU262194:FUU262195 GEQ262194:GEQ262195 GOM262194:GOM262195 GYI262194:GYI262195 HIE262194:HIE262195 HSA262194:HSA262195 IBW262194:IBW262195 ILS262194:ILS262195 IVO262194:IVO262195 JFK262194:JFK262195 JPG262194:JPG262195 JZC262194:JZC262195 KIY262194:KIY262195 KSU262194:KSU262195 LCQ262194:LCQ262195 LMM262194:LMM262195 LWI262194:LWI262195 MGE262194:MGE262195 MQA262194:MQA262195 MZW262194:MZW262195 NJS262194:NJS262195 NTO262194:NTO262195 ODK262194:ODK262195 ONG262194:ONG262195 OXC262194:OXC262195 PGY262194:PGY262195 PQU262194:PQU262195 QAQ262194:QAQ262195 QKM262194:QKM262195 QUI262194:QUI262195 REE262194:REE262195 ROA262194:ROA262195 RXW262194:RXW262195 SHS262194:SHS262195 SRO262194:SRO262195 TBK262194:TBK262195 TLG262194:TLG262195 TVC262194:TVC262195 UEY262194:UEY262195 UOU262194:UOU262195 UYQ262194:UYQ262195 VIM262194:VIM262195 VSI262194:VSI262195 WCE262194:WCE262195 WMA262194:WMA262195 WVW262194:WVW262195 O327730:O327731 JK327730:JK327731 TG327730:TG327731 ADC327730:ADC327731 AMY327730:AMY327731 AWU327730:AWU327731 BGQ327730:BGQ327731 BQM327730:BQM327731 CAI327730:CAI327731 CKE327730:CKE327731 CUA327730:CUA327731 DDW327730:DDW327731 DNS327730:DNS327731 DXO327730:DXO327731 EHK327730:EHK327731 ERG327730:ERG327731 FBC327730:FBC327731 FKY327730:FKY327731 FUU327730:FUU327731 GEQ327730:GEQ327731 GOM327730:GOM327731 GYI327730:GYI327731 HIE327730:HIE327731 HSA327730:HSA327731 IBW327730:IBW327731 ILS327730:ILS327731 IVO327730:IVO327731 JFK327730:JFK327731 JPG327730:JPG327731 JZC327730:JZC327731 KIY327730:KIY327731 KSU327730:KSU327731 LCQ327730:LCQ327731 LMM327730:LMM327731 LWI327730:LWI327731 MGE327730:MGE327731 MQA327730:MQA327731 MZW327730:MZW327731 NJS327730:NJS327731 NTO327730:NTO327731 ODK327730:ODK327731 ONG327730:ONG327731 OXC327730:OXC327731 PGY327730:PGY327731 PQU327730:PQU327731 QAQ327730:QAQ327731 QKM327730:QKM327731 QUI327730:QUI327731 REE327730:REE327731 ROA327730:ROA327731 RXW327730:RXW327731 SHS327730:SHS327731 SRO327730:SRO327731 TBK327730:TBK327731 TLG327730:TLG327731 TVC327730:TVC327731 UEY327730:UEY327731 UOU327730:UOU327731 UYQ327730:UYQ327731 VIM327730:VIM327731 VSI327730:VSI327731 WCE327730:WCE327731 WMA327730:WMA327731 WVW327730:WVW327731 O393266:O393267 JK393266:JK393267 TG393266:TG393267 ADC393266:ADC393267 AMY393266:AMY393267 AWU393266:AWU393267 BGQ393266:BGQ393267 BQM393266:BQM393267 CAI393266:CAI393267 CKE393266:CKE393267 CUA393266:CUA393267 DDW393266:DDW393267 DNS393266:DNS393267 DXO393266:DXO393267 EHK393266:EHK393267 ERG393266:ERG393267 FBC393266:FBC393267 FKY393266:FKY393267 FUU393266:FUU393267 GEQ393266:GEQ393267 GOM393266:GOM393267 GYI393266:GYI393267 HIE393266:HIE393267 HSA393266:HSA393267 IBW393266:IBW393267 ILS393266:ILS393267 IVO393266:IVO393267 JFK393266:JFK393267 JPG393266:JPG393267 JZC393266:JZC393267 KIY393266:KIY393267 KSU393266:KSU393267 LCQ393266:LCQ393267 LMM393266:LMM393267 LWI393266:LWI393267 MGE393266:MGE393267 MQA393266:MQA393267 MZW393266:MZW393267 NJS393266:NJS393267 NTO393266:NTO393267 ODK393266:ODK393267 ONG393266:ONG393267 OXC393266:OXC393267 PGY393266:PGY393267 PQU393266:PQU393267 QAQ393266:QAQ393267 QKM393266:QKM393267 QUI393266:QUI393267 REE393266:REE393267 ROA393266:ROA393267 RXW393266:RXW393267 SHS393266:SHS393267 SRO393266:SRO393267 TBK393266:TBK393267 TLG393266:TLG393267 TVC393266:TVC393267 UEY393266:UEY393267 UOU393266:UOU393267 UYQ393266:UYQ393267 VIM393266:VIM393267 VSI393266:VSI393267 WCE393266:WCE393267 WMA393266:WMA393267 WVW393266:WVW393267 O458802:O458803 JK458802:JK458803 TG458802:TG458803 ADC458802:ADC458803 AMY458802:AMY458803 AWU458802:AWU458803 BGQ458802:BGQ458803 BQM458802:BQM458803 CAI458802:CAI458803 CKE458802:CKE458803 CUA458802:CUA458803 DDW458802:DDW458803 DNS458802:DNS458803 DXO458802:DXO458803 EHK458802:EHK458803 ERG458802:ERG458803 FBC458802:FBC458803 FKY458802:FKY458803 FUU458802:FUU458803 GEQ458802:GEQ458803 GOM458802:GOM458803 GYI458802:GYI458803 HIE458802:HIE458803 HSA458802:HSA458803 IBW458802:IBW458803 ILS458802:ILS458803 IVO458802:IVO458803 JFK458802:JFK458803 JPG458802:JPG458803 JZC458802:JZC458803 KIY458802:KIY458803 KSU458802:KSU458803 LCQ458802:LCQ458803 LMM458802:LMM458803 LWI458802:LWI458803 MGE458802:MGE458803 MQA458802:MQA458803 MZW458802:MZW458803 NJS458802:NJS458803 NTO458802:NTO458803 ODK458802:ODK458803 ONG458802:ONG458803 OXC458802:OXC458803 PGY458802:PGY458803 PQU458802:PQU458803 QAQ458802:QAQ458803 QKM458802:QKM458803 QUI458802:QUI458803 REE458802:REE458803 ROA458802:ROA458803 RXW458802:RXW458803 SHS458802:SHS458803 SRO458802:SRO458803 TBK458802:TBK458803 TLG458802:TLG458803 TVC458802:TVC458803 UEY458802:UEY458803 UOU458802:UOU458803 UYQ458802:UYQ458803 VIM458802:VIM458803 VSI458802:VSI458803 WCE458802:WCE458803 WMA458802:WMA458803 WVW458802:WVW458803 O524338:O524339 JK524338:JK524339 TG524338:TG524339 ADC524338:ADC524339 AMY524338:AMY524339 AWU524338:AWU524339 BGQ524338:BGQ524339 BQM524338:BQM524339 CAI524338:CAI524339 CKE524338:CKE524339 CUA524338:CUA524339 DDW524338:DDW524339 DNS524338:DNS524339 DXO524338:DXO524339 EHK524338:EHK524339 ERG524338:ERG524339 FBC524338:FBC524339 FKY524338:FKY524339 FUU524338:FUU524339 GEQ524338:GEQ524339 GOM524338:GOM524339 GYI524338:GYI524339 HIE524338:HIE524339 HSA524338:HSA524339 IBW524338:IBW524339 ILS524338:ILS524339 IVO524338:IVO524339 JFK524338:JFK524339 JPG524338:JPG524339 JZC524338:JZC524339 KIY524338:KIY524339 KSU524338:KSU524339 LCQ524338:LCQ524339 LMM524338:LMM524339 LWI524338:LWI524339 MGE524338:MGE524339 MQA524338:MQA524339 MZW524338:MZW524339 NJS524338:NJS524339 NTO524338:NTO524339 ODK524338:ODK524339 ONG524338:ONG524339 OXC524338:OXC524339 PGY524338:PGY524339 PQU524338:PQU524339 QAQ524338:QAQ524339 QKM524338:QKM524339 QUI524338:QUI524339 REE524338:REE524339 ROA524338:ROA524339 RXW524338:RXW524339 SHS524338:SHS524339 SRO524338:SRO524339 TBK524338:TBK524339 TLG524338:TLG524339 TVC524338:TVC524339 UEY524338:UEY524339 UOU524338:UOU524339 UYQ524338:UYQ524339 VIM524338:VIM524339 VSI524338:VSI524339 WCE524338:WCE524339 WMA524338:WMA524339 WVW524338:WVW524339 O589874:O589875 JK589874:JK589875 TG589874:TG589875 ADC589874:ADC589875 AMY589874:AMY589875 AWU589874:AWU589875 BGQ589874:BGQ589875 BQM589874:BQM589875 CAI589874:CAI589875 CKE589874:CKE589875 CUA589874:CUA589875 DDW589874:DDW589875 DNS589874:DNS589875 DXO589874:DXO589875 EHK589874:EHK589875 ERG589874:ERG589875 FBC589874:FBC589875 FKY589874:FKY589875 FUU589874:FUU589875 GEQ589874:GEQ589875 GOM589874:GOM589875 GYI589874:GYI589875 HIE589874:HIE589875 HSA589874:HSA589875 IBW589874:IBW589875 ILS589874:ILS589875 IVO589874:IVO589875 JFK589874:JFK589875 JPG589874:JPG589875 JZC589874:JZC589875 KIY589874:KIY589875 KSU589874:KSU589875 LCQ589874:LCQ589875 LMM589874:LMM589875 LWI589874:LWI589875 MGE589874:MGE589875 MQA589874:MQA589875 MZW589874:MZW589875 NJS589874:NJS589875 NTO589874:NTO589875 ODK589874:ODK589875 ONG589874:ONG589875 OXC589874:OXC589875 PGY589874:PGY589875 PQU589874:PQU589875 QAQ589874:QAQ589875 QKM589874:QKM589875 QUI589874:QUI589875 REE589874:REE589875 ROA589874:ROA589875 RXW589874:RXW589875 SHS589874:SHS589875 SRO589874:SRO589875 TBK589874:TBK589875 TLG589874:TLG589875 TVC589874:TVC589875 UEY589874:UEY589875 UOU589874:UOU589875 UYQ589874:UYQ589875 VIM589874:VIM589875 VSI589874:VSI589875 WCE589874:WCE589875 WMA589874:WMA589875 WVW589874:WVW589875 O655410:O655411 JK655410:JK655411 TG655410:TG655411 ADC655410:ADC655411 AMY655410:AMY655411 AWU655410:AWU655411 BGQ655410:BGQ655411 BQM655410:BQM655411 CAI655410:CAI655411 CKE655410:CKE655411 CUA655410:CUA655411 DDW655410:DDW655411 DNS655410:DNS655411 DXO655410:DXO655411 EHK655410:EHK655411 ERG655410:ERG655411 FBC655410:FBC655411 FKY655410:FKY655411 FUU655410:FUU655411 GEQ655410:GEQ655411 GOM655410:GOM655411 GYI655410:GYI655411 HIE655410:HIE655411 HSA655410:HSA655411 IBW655410:IBW655411 ILS655410:ILS655411 IVO655410:IVO655411 JFK655410:JFK655411 JPG655410:JPG655411 JZC655410:JZC655411 KIY655410:KIY655411 KSU655410:KSU655411 LCQ655410:LCQ655411 LMM655410:LMM655411 LWI655410:LWI655411 MGE655410:MGE655411 MQA655410:MQA655411 MZW655410:MZW655411 NJS655410:NJS655411 NTO655410:NTO655411 ODK655410:ODK655411 ONG655410:ONG655411 OXC655410:OXC655411 PGY655410:PGY655411 PQU655410:PQU655411 QAQ655410:QAQ655411 QKM655410:QKM655411 QUI655410:QUI655411 REE655410:REE655411 ROA655410:ROA655411 RXW655410:RXW655411 SHS655410:SHS655411 SRO655410:SRO655411 TBK655410:TBK655411 TLG655410:TLG655411 TVC655410:TVC655411 UEY655410:UEY655411 UOU655410:UOU655411 UYQ655410:UYQ655411 VIM655410:VIM655411 VSI655410:VSI655411 WCE655410:WCE655411 WMA655410:WMA655411 WVW655410:WVW655411 O720946:O720947 JK720946:JK720947 TG720946:TG720947 ADC720946:ADC720947 AMY720946:AMY720947 AWU720946:AWU720947 BGQ720946:BGQ720947 BQM720946:BQM720947 CAI720946:CAI720947 CKE720946:CKE720947 CUA720946:CUA720947 DDW720946:DDW720947 DNS720946:DNS720947 DXO720946:DXO720947 EHK720946:EHK720947 ERG720946:ERG720947 FBC720946:FBC720947 FKY720946:FKY720947 FUU720946:FUU720947 GEQ720946:GEQ720947 GOM720946:GOM720947 GYI720946:GYI720947 HIE720946:HIE720947 HSA720946:HSA720947 IBW720946:IBW720947 ILS720946:ILS720947 IVO720946:IVO720947 JFK720946:JFK720947 JPG720946:JPG720947 JZC720946:JZC720947 KIY720946:KIY720947 KSU720946:KSU720947 LCQ720946:LCQ720947 LMM720946:LMM720947 LWI720946:LWI720947 MGE720946:MGE720947 MQA720946:MQA720947 MZW720946:MZW720947 NJS720946:NJS720947 NTO720946:NTO720947 ODK720946:ODK720947 ONG720946:ONG720947 OXC720946:OXC720947 PGY720946:PGY720947 PQU720946:PQU720947 QAQ720946:QAQ720947 QKM720946:QKM720947 QUI720946:QUI720947 REE720946:REE720947 ROA720946:ROA720947 RXW720946:RXW720947 SHS720946:SHS720947 SRO720946:SRO720947 TBK720946:TBK720947 TLG720946:TLG720947 TVC720946:TVC720947 UEY720946:UEY720947 UOU720946:UOU720947 UYQ720946:UYQ720947 VIM720946:VIM720947 VSI720946:VSI720947 WCE720946:WCE720947 WMA720946:WMA720947 WVW720946:WVW720947 O786482:O786483 JK786482:JK786483 TG786482:TG786483 ADC786482:ADC786483 AMY786482:AMY786483 AWU786482:AWU786483 BGQ786482:BGQ786483 BQM786482:BQM786483 CAI786482:CAI786483 CKE786482:CKE786483 CUA786482:CUA786483 DDW786482:DDW786483 DNS786482:DNS786483 DXO786482:DXO786483 EHK786482:EHK786483 ERG786482:ERG786483 FBC786482:FBC786483 FKY786482:FKY786483 FUU786482:FUU786483 GEQ786482:GEQ786483 GOM786482:GOM786483 GYI786482:GYI786483 HIE786482:HIE786483 HSA786482:HSA786483 IBW786482:IBW786483 ILS786482:ILS786483 IVO786482:IVO786483 JFK786482:JFK786483 JPG786482:JPG786483 JZC786482:JZC786483 KIY786482:KIY786483 KSU786482:KSU786483 LCQ786482:LCQ786483 LMM786482:LMM786483 LWI786482:LWI786483 MGE786482:MGE786483 MQA786482:MQA786483 MZW786482:MZW786483 NJS786482:NJS786483 NTO786482:NTO786483 ODK786482:ODK786483 ONG786482:ONG786483 OXC786482:OXC786483 PGY786482:PGY786483 PQU786482:PQU786483 QAQ786482:QAQ786483 QKM786482:QKM786483 QUI786482:QUI786483 REE786482:REE786483 ROA786482:ROA786483 RXW786482:RXW786483 SHS786482:SHS786483 SRO786482:SRO786483 TBK786482:TBK786483 TLG786482:TLG786483 TVC786482:TVC786483 UEY786482:UEY786483 UOU786482:UOU786483 UYQ786482:UYQ786483 VIM786482:VIM786483 VSI786482:VSI786483 WCE786482:WCE786483 WMA786482:WMA786483 WVW786482:WVW786483 O852018:O852019 JK852018:JK852019 TG852018:TG852019 ADC852018:ADC852019 AMY852018:AMY852019 AWU852018:AWU852019 BGQ852018:BGQ852019 BQM852018:BQM852019 CAI852018:CAI852019 CKE852018:CKE852019 CUA852018:CUA852019 DDW852018:DDW852019 DNS852018:DNS852019 DXO852018:DXO852019 EHK852018:EHK852019 ERG852018:ERG852019 FBC852018:FBC852019 FKY852018:FKY852019 FUU852018:FUU852019 GEQ852018:GEQ852019 GOM852018:GOM852019 GYI852018:GYI852019 HIE852018:HIE852019 HSA852018:HSA852019 IBW852018:IBW852019 ILS852018:ILS852019 IVO852018:IVO852019 JFK852018:JFK852019 JPG852018:JPG852019 JZC852018:JZC852019 KIY852018:KIY852019 KSU852018:KSU852019 LCQ852018:LCQ852019 LMM852018:LMM852019 LWI852018:LWI852019 MGE852018:MGE852019 MQA852018:MQA852019 MZW852018:MZW852019 NJS852018:NJS852019 NTO852018:NTO852019 ODK852018:ODK852019 ONG852018:ONG852019 OXC852018:OXC852019 PGY852018:PGY852019 PQU852018:PQU852019 QAQ852018:QAQ852019 QKM852018:QKM852019 QUI852018:QUI852019 REE852018:REE852019 ROA852018:ROA852019 RXW852018:RXW852019 SHS852018:SHS852019 SRO852018:SRO852019 TBK852018:TBK852019 TLG852018:TLG852019 TVC852018:TVC852019 UEY852018:UEY852019 UOU852018:UOU852019 UYQ852018:UYQ852019 VIM852018:VIM852019 VSI852018:VSI852019 WCE852018:WCE852019 WMA852018:WMA852019 WVW852018:WVW852019 O917554:O917555 JK917554:JK917555 TG917554:TG917555 ADC917554:ADC917555 AMY917554:AMY917555 AWU917554:AWU917555 BGQ917554:BGQ917555 BQM917554:BQM917555 CAI917554:CAI917555 CKE917554:CKE917555 CUA917554:CUA917555 DDW917554:DDW917555 DNS917554:DNS917555 DXO917554:DXO917555 EHK917554:EHK917555 ERG917554:ERG917555 FBC917554:FBC917555 FKY917554:FKY917555 FUU917554:FUU917555 GEQ917554:GEQ917555 GOM917554:GOM917555 GYI917554:GYI917555 HIE917554:HIE917555 HSA917554:HSA917555 IBW917554:IBW917555 ILS917554:ILS917555 IVO917554:IVO917555 JFK917554:JFK917555 JPG917554:JPG917555 JZC917554:JZC917555 KIY917554:KIY917555 KSU917554:KSU917555 LCQ917554:LCQ917555 LMM917554:LMM917555 LWI917554:LWI917555 MGE917554:MGE917555 MQA917554:MQA917555 MZW917554:MZW917555 NJS917554:NJS917555 NTO917554:NTO917555 ODK917554:ODK917555 ONG917554:ONG917555 OXC917554:OXC917555 PGY917554:PGY917555 PQU917554:PQU917555 QAQ917554:QAQ917555 QKM917554:QKM917555 QUI917554:QUI917555 REE917554:REE917555 ROA917554:ROA917555 RXW917554:RXW917555 SHS917554:SHS917555 SRO917554:SRO917555 TBK917554:TBK917555 TLG917554:TLG917555 TVC917554:TVC917555 UEY917554:UEY917555 UOU917554:UOU917555 UYQ917554:UYQ917555 VIM917554:VIM917555 VSI917554:VSI917555 WCE917554:WCE917555 WMA917554:WMA917555 WVW917554:WVW917555 O983090:O983091 JK983090:JK983091 TG983090:TG983091 ADC983090:ADC983091 AMY983090:AMY983091 AWU983090:AWU983091 BGQ983090:BGQ983091 BQM983090:BQM983091 CAI983090:CAI983091 CKE983090:CKE983091 CUA983090:CUA983091 DDW983090:DDW983091 DNS983090:DNS983091 DXO983090:DXO983091 EHK983090:EHK983091 ERG983090:ERG983091 FBC983090:FBC983091 FKY983090:FKY983091 FUU983090:FUU983091 GEQ983090:GEQ983091 GOM983090:GOM983091 GYI983090:GYI983091 HIE983090:HIE983091 HSA983090:HSA983091 IBW983090:IBW983091 ILS983090:ILS983091 IVO983090:IVO983091 JFK983090:JFK983091 JPG983090:JPG983091 JZC983090:JZC983091 KIY983090:KIY983091 KSU983090:KSU983091 LCQ983090:LCQ983091 LMM983090:LMM983091 LWI983090:LWI983091 MGE983090:MGE983091 MQA983090:MQA983091 MZW983090:MZW983091 NJS983090:NJS983091 NTO983090:NTO983091 ODK983090:ODK983091 ONG983090:ONG983091 OXC983090:OXC983091 PGY983090:PGY983091 PQU983090:PQU983091 QAQ983090:QAQ983091 QKM983090:QKM983091 QUI983090:QUI983091 REE983090:REE983091 ROA983090:ROA983091 RXW983090:RXW983091 SHS983090:SHS983091 SRO983090:SRO983091 TBK983090:TBK983091 TLG983090:TLG983091 TVC983090:TVC983091 UEY983090:UEY983091 UOU983090:UOU983091 UYQ983090:UYQ983091 VIM983090:VIM983091 VSI983090:VSI983091 WCE983090:WCE983091 WMA983090:WMA983091 WVW983090:WVW983091 AXC105:AXC107 JB113:JB117 SX113:SX117 ACT113:ACT117 AMP113:AMP117 AWL113:AWL117 BGH113:BGH117 BQD113:BQD117 BZZ113:BZZ117 CJV113:CJV117 CTR113:CTR117 DDN113:DDN117 DNJ113:DNJ117 DXF113:DXF117 EHB113:EHB117 EQX113:EQX117 FAT113:FAT117 FKP113:FKP117 FUL113:FUL117 GEH113:GEH117 GOD113:GOD117 GXZ113:GXZ117 HHV113:HHV117 HRR113:HRR117 IBN113:IBN117 ILJ113:ILJ117 IVF113:IVF117 JFB113:JFB117 JOX113:JOX117 JYT113:JYT117 KIP113:KIP117 KSL113:KSL117 LCH113:LCH117 LMD113:LMD117 LVZ113:LVZ117 MFV113:MFV117 MPR113:MPR117 MZN113:MZN117 NJJ113:NJJ117 NTF113:NTF117 ODB113:ODB117 OMX113:OMX117 OWT113:OWT117 PGP113:PGP117 PQL113:PQL117 QAH113:QAH117 QKD113:QKD117 QTZ113:QTZ117 RDV113:RDV117 RNR113:RNR117 RXN113:RXN117 SHJ113:SHJ117 SRF113:SRF117 TBB113:TBB117 TKX113:TKX117 TUT113:TUT117 UEP113:UEP117 UOL113:UOL117 UYH113:UYH117 VID113:VID117 VRZ113:VRZ117 WBV113:WBV117 WLR113:WLR117 WVN113:WVN117 F65649:F65653 JB65649:JB65653 SX65649:SX65653 ACT65649:ACT65653 AMP65649:AMP65653 AWL65649:AWL65653 BGH65649:BGH65653 BQD65649:BQD65653 BZZ65649:BZZ65653 CJV65649:CJV65653 CTR65649:CTR65653 DDN65649:DDN65653 DNJ65649:DNJ65653 DXF65649:DXF65653 EHB65649:EHB65653 EQX65649:EQX65653 FAT65649:FAT65653 FKP65649:FKP65653 FUL65649:FUL65653 GEH65649:GEH65653 GOD65649:GOD65653 GXZ65649:GXZ65653 HHV65649:HHV65653 HRR65649:HRR65653 IBN65649:IBN65653 ILJ65649:ILJ65653 IVF65649:IVF65653 JFB65649:JFB65653 JOX65649:JOX65653 JYT65649:JYT65653 KIP65649:KIP65653 KSL65649:KSL65653 LCH65649:LCH65653 LMD65649:LMD65653 LVZ65649:LVZ65653 MFV65649:MFV65653 MPR65649:MPR65653 MZN65649:MZN65653 NJJ65649:NJJ65653 NTF65649:NTF65653 ODB65649:ODB65653 OMX65649:OMX65653 OWT65649:OWT65653 PGP65649:PGP65653 PQL65649:PQL65653 QAH65649:QAH65653 QKD65649:QKD65653 QTZ65649:QTZ65653 RDV65649:RDV65653 RNR65649:RNR65653 RXN65649:RXN65653 SHJ65649:SHJ65653 SRF65649:SRF65653 TBB65649:TBB65653 TKX65649:TKX65653 TUT65649:TUT65653 UEP65649:UEP65653 UOL65649:UOL65653 UYH65649:UYH65653 VID65649:VID65653 VRZ65649:VRZ65653 WBV65649:WBV65653 WLR65649:WLR65653 WVN65649:WVN65653 F131185:F131189 JB131185:JB131189 SX131185:SX131189 ACT131185:ACT131189 AMP131185:AMP131189 AWL131185:AWL131189 BGH131185:BGH131189 BQD131185:BQD131189 BZZ131185:BZZ131189 CJV131185:CJV131189 CTR131185:CTR131189 DDN131185:DDN131189 DNJ131185:DNJ131189 DXF131185:DXF131189 EHB131185:EHB131189 EQX131185:EQX131189 FAT131185:FAT131189 FKP131185:FKP131189 FUL131185:FUL131189 GEH131185:GEH131189 GOD131185:GOD131189 GXZ131185:GXZ131189 HHV131185:HHV131189 HRR131185:HRR131189 IBN131185:IBN131189 ILJ131185:ILJ131189 IVF131185:IVF131189 JFB131185:JFB131189 JOX131185:JOX131189 JYT131185:JYT131189 KIP131185:KIP131189 KSL131185:KSL131189 LCH131185:LCH131189 LMD131185:LMD131189 LVZ131185:LVZ131189 MFV131185:MFV131189 MPR131185:MPR131189 MZN131185:MZN131189 NJJ131185:NJJ131189 NTF131185:NTF131189 ODB131185:ODB131189 OMX131185:OMX131189 OWT131185:OWT131189 PGP131185:PGP131189 PQL131185:PQL131189 QAH131185:QAH131189 QKD131185:QKD131189 QTZ131185:QTZ131189 RDV131185:RDV131189 RNR131185:RNR131189 RXN131185:RXN131189 SHJ131185:SHJ131189 SRF131185:SRF131189 TBB131185:TBB131189 TKX131185:TKX131189 TUT131185:TUT131189 UEP131185:UEP131189 UOL131185:UOL131189 UYH131185:UYH131189 VID131185:VID131189 VRZ131185:VRZ131189 WBV131185:WBV131189 WLR131185:WLR131189 WVN131185:WVN131189 F196721:F196725 JB196721:JB196725 SX196721:SX196725 ACT196721:ACT196725 AMP196721:AMP196725 AWL196721:AWL196725 BGH196721:BGH196725 BQD196721:BQD196725 BZZ196721:BZZ196725 CJV196721:CJV196725 CTR196721:CTR196725 DDN196721:DDN196725 DNJ196721:DNJ196725 DXF196721:DXF196725 EHB196721:EHB196725 EQX196721:EQX196725 FAT196721:FAT196725 FKP196721:FKP196725 FUL196721:FUL196725 GEH196721:GEH196725 GOD196721:GOD196725 GXZ196721:GXZ196725 HHV196721:HHV196725 HRR196721:HRR196725 IBN196721:IBN196725 ILJ196721:ILJ196725 IVF196721:IVF196725 JFB196721:JFB196725 JOX196721:JOX196725 JYT196721:JYT196725 KIP196721:KIP196725 KSL196721:KSL196725 LCH196721:LCH196725 LMD196721:LMD196725 LVZ196721:LVZ196725 MFV196721:MFV196725 MPR196721:MPR196725 MZN196721:MZN196725 NJJ196721:NJJ196725 NTF196721:NTF196725 ODB196721:ODB196725 OMX196721:OMX196725 OWT196721:OWT196725 PGP196721:PGP196725 PQL196721:PQL196725 QAH196721:QAH196725 QKD196721:QKD196725 QTZ196721:QTZ196725 RDV196721:RDV196725 RNR196721:RNR196725 RXN196721:RXN196725 SHJ196721:SHJ196725 SRF196721:SRF196725 TBB196721:TBB196725 TKX196721:TKX196725 TUT196721:TUT196725 UEP196721:UEP196725 UOL196721:UOL196725 UYH196721:UYH196725 VID196721:VID196725 VRZ196721:VRZ196725 WBV196721:WBV196725 WLR196721:WLR196725 WVN196721:WVN196725 F262257:F262261 JB262257:JB262261 SX262257:SX262261 ACT262257:ACT262261 AMP262257:AMP262261 AWL262257:AWL262261 BGH262257:BGH262261 BQD262257:BQD262261 BZZ262257:BZZ262261 CJV262257:CJV262261 CTR262257:CTR262261 DDN262257:DDN262261 DNJ262257:DNJ262261 DXF262257:DXF262261 EHB262257:EHB262261 EQX262257:EQX262261 FAT262257:FAT262261 FKP262257:FKP262261 FUL262257:FUL262261 GEH262257:GEH262261 GOD262257:GOD262261 GXZ262257:GXZ262261 HHV262257:HHV262261 HRR262257:HRR262261 IBN262257:IBN262261 ILJ262257:ILJ262261 IVF262257:IVF262261 JFB262257:JFB262261 JOX262257:JOX262261 JYT262257:JYT262261 KIP262257:KIP262261 KSL262257:KSL262261 LCH262257:LCH262261 LMD262257:LMD262261 LVZ262257:LVZ262261 MFV262257:MFV262261 MPR262257:MPR262261 MZN262257:MZN262261 NJJ262257:NJJ262261 NTF262257:NTF262261 ODB262257:ODB262261 OMX262257:OMX262261 OWT262257:OWT262261 PGP262257:PGP262261 PQL262257:PQL262261 QAH262257:QAH262261 QKD262257:QKD262261 QTZ262257:QTZ262261 RDV262257:RDV262261 RNR262257:RNR262261 RXN262257:RXN262261 SHJ262257:SHJ262261 SRF262257:SRF262261 TBB262257:TBB262261 TKX262257:TKX262261 TUT262257:TUT262261 UEP262257:UEP262261 UOL262257:UOL262261 UYH262257:UYH262261 VID262257:VID262261 VRZ262257:VRZ262261 WBV262257:WBV262261 WLR262257:WLR262261 WVN262257:WVN262261 F327793:F327797 JB327793:JB327797 SX327793:SX327797 ACT327793:ACT327797 AMP327793:AMP327797 AWL327793:AWL327797 BGH327793:BGH327797 BQD327793:BQD327797 BZZ327793:BZZ327797 CJV327793:CJV327797 CTR327793:CTR327797 DDN327793:DDN327797 DNJ327793:DNJ327797 DXF327793:DXF327797 EHB327793:EHB327797 EQX327793:EQX327797 FAT327793:FAT327797 FKP327793:FKP327797 FUL327793:FUL327797 GEH327793:GEH327797 GOD327793:GOD327797 GXZ327793:GXZ327797 HHV327793:HHV327797 HRR327793:HRR327797 IBN327793:IBN327797 ILJ327793:ILJ327797 IVF327793:IVF327797 JFB327793:JFB327797 JOX327793:JOX327797 JYT327793:JYT327797 KIP327793:KIP327797 KSL327793:KSL327797 LCH327793:LCH327797 LMD327793:LMD327797 LVZ327793:LVZ327797 MFV327793:MFV327797 MPR327793:MPR327797 MZN327793:MZN327797 NJJ327793:NJJ327797 NTF327793:NTF327797 ODB327793:ODB327797 OMX327793:OMX327797 OWT327793:OWT327797 PGP327793:PGP327797 PQL327793:PQL327797 QAH327793:QAH327797 QKD327793:QKD327797 QTZ327793:QTZ327797 RDV327793:RDV327797 RNR327793:RNR327797 RXN327793:RXN327797 SHJ327793:SHJ327797 SRF327793:SRF327797 TBB327793:TBB327797 TKX327793:TKX327797 TUT327793:TUT327797 UEP327793:UEP327797 UOL327793:UOL327797 UYH327793:UYH327797 VID327793:VID327797 VRZ327793:VRZ327797 WBV327793:WBV327797 WLR327793:WLR327797 WVN327793:WVN327797 F393329:F393333 JB393329:JB393333 SX393329:SX393333 ACT393329:ACT393333 AMP393329:AMP393333 AWL393329:AWL393333 BGH393329:BGH393333 BQD393329:BQD393333 BZZ393329:BZZ393333 CJV393329:CJV393333 CTR393329:CTR393333 DDN393329:DDN393333 DNJ393329:DNJ393333 DXF393329:DXF393333 EHB393329:EHB393333 EQX393329:EQX393333 FAT393329:FAT393333 FKP393329:FKP393333 FUL393329:FUL393333 GEH393329:GEH393333 GOD393329:GOD393333 GXZ393329:GXZ393333 HHV393329:HHV393333 HRR393329:HRR393333 IBN393329:IBN393333 ILJ393329:ILJ393333 IVF393329:IVF393333 JFB393329:JFB393333 JOX393329:JOX393333 JYT393329:JYT393333 KIP393329:KIP393333 KSL393329:KSL393333 LCH393329:LCH393333 LMD393329:LMD393333 LVZ393329:LVZ393333 MFV393329:MFV393333 MPR393329:MPR393333 MZN393329:MZN393333 NJJ393329:NJJ393333 NTF393329:NTF393333 ODB393329:ODB393333 OMX393329:OMX393333 OWT393329:OWT393333 PGP393329:PGP393333 PQL393329:PQL393333 QAH393329:QAH393333 QKD393329:QKD393333 QTZ393329:QTZ393333 RDV393329:RDV393333 RNR393329:RNR393333 RXN393329:RXN393333 SHJ393329:SHJ393333 SRF393329:SRF393333 TBB393329:TBB393333 TKX393329:TKX393333 TUT393329:TUT393333 UEP393329:UEP393333 UOL393329:UOL393333 UYH393329:UYH393333 VID393329:VID393333 VRZ393329:VRZ393333 WBV393329:WBV393333 WLR393329:WLR393333 WVN393329:WVN393333 F458865:F458869 JB458865:JB458869 SX458865:SX458869 ACT458865:ACT458869 AMP458865:AMP458869 AWL458865:AWL458869 BGH458865:BGH458869 BQD458865:BQD458869 BZZ458865:BZZ458869 CJV458865:CJV458869 CTR458865:CTR458869 DDN458865:DDN458869 DNJ458865:DNJ458869 DXF458865:DXF458869 EHB458865:EHB458869 EQX458865:EQX458869 FAT458865:FAT458869 FKP458865:FKP458869 FUL458865:FUL458869 GEH458865:GEH458869 GOD458865:GOD458869 GXZ458865:GXZ458869 HHV458865:HHV458869 HRR458865:HRR458869 IBN458865:IBN458869 ILJ458865:ILJ458869 IVF458865:IVF458869 JFB458865:JFB458869 JOX458865:JOX458869 JYT458865:JYT458869 KIP458865:KIP458869 KSL458865:KSL458869 LCH458865:LCH458869 LMD458865:LMD458869 LVZ458865:LVZ458869 MFV458865:MFV458869 MPR458865:MPR458869 MZN458865:MZN458869 NJJ458865:NJJ458869 NTF458865:NTF458869 ODB458865:ODB458869 OMX458865:OMX458869 OWT458865:OWT458869 PGP458865:PGP458869 PQL458865:PQL458869 QAH458865:QAH458869 QKD458865:QKD458869 QTZ458865:QTZ458869 RDV458865:RDV458869 RNR458865:RNR458869 RXN458865:RXN458869 SHJ458865:SHJ458869 SRF458865:SRF458869 TBB458865:TBB458869 TKX458865:TKX458869 TUT458865:TUT458869 UEP458865:UEP458869 UOL458865:UOL458869 UYH458865:UYH458869 VID458865:VID458869 VRZ458865:VRZ458869 WBV458865:WBV458869 WLR458865:WLR458869 WVN458865:WVN458869 F524401:F524405 JB524401:JB524405 SX524401:SX524405 ACT524401:ACT524405 AMP524401:AMP524405 AWL524401:AWL524405 BGH524401:BGH524405 BQD524401:BQD524405 BZZ524401:BZZ524405 CJV524401:CJV524405 CTR524401:CTR524405 DDN524401:DDN524405 DNJ524401:DNJ524405 DXF524401:DXF524405 EHB524401:EHB524405 EQX524401:EQX524405 FAT524401:FAT524405 FKP524401:FKP524405 FUL524401:FUL524405 GEH524401:GEH524405 GOD524401:GOD524405 GXZ524401:GXZ524405 HHV524401:HHV524405 HRR524401:HRR524405 IBN524401:IBN524405 ILJ524401:ILJ524405 IVF524401:IVF524405 JFB524401:JFB524405 JOX524401:JOX524405 JYT524401:JYT524405 KIP524401:KIP524405 KSL524401:KSL524405 LCH524401:LCH524405 LMD524401:LMD524405 LVZ524401:LVZ524405 MFV524401:MFV524405 MPR524401:MPR524405 MZN524401:MZN524405 NJJ524401:NJJ524405 NTF524401:NTF524405 ODB524401:ODB524405 OMX524401:OMX524405 OWT524401:OWT524405 PGP524401:PGP524405 PQL524401:PQL524405 QAH524401:QAH524405 QKD524401:QKD524405 QTZ524401:QTZ524405 RDV524401:RDV524405 RNR524401:RNR524405 RXN524401:RXN524405 SHJ524401:SHJ524405 SRF524401:SRF524405 TBB524401:TBB524405 TKX524401:TKX524405 TUT524401:TUT524405 UEP524401:UEP524405 UOL524401:UOL524405 UYH524401:UYH524405 VID524401:VID524405 VRZ524401:VRZ524405 WBV524401:WBV524405 WLR524401:WLR524405 WVN524401:WVN524405 F589937:F589941 JB589937:JB589941 SX589937:SX589941 ACT589937:ACT589941 AMP589937:AMP589941 AWL589937:AWL589941 BGH589937:BGH589941 BQD589937:BQD589941 BZZ589937:BZZ589941 CJV589937:CJV589941 CTR589937:CTR589941 DDN589937:DDN589941 DNJ589937:DNJ589941 DXF589937:DXF589941 EHB589937:EHB589941 EQX589937:EQX589941 FAT589937:FAT589941 FKP589937:FKP589941 FUL589937:FUL589941 GEH589937:GEH589941 GOD589937:GOD589941 GXZ589937:GXZ589941 HHV589937:HHV589941 HRR589937:HRR589941 IBN589937:IBN589941 ILJ589937:ILJ589941 IVF589937:IVF589941 JFB589937:JFB589941 JOX589937:JOX589941 JYT589937:JYT589941 KIP589937:KIP589941 KSL589937:KSL589941 LCH589937:LCH589941 LMD589937:LMD589941 LVZ589937:LVZ589941 MFV589937:MFV589941 MPR589937:MPR589941 MZN589937:MZN589941 NJJ589937:NJJ589941 NTF589937:NTF589941 ODB589937:ODB589941 OMX589937:OMX589941 OWT589937:OWT589941 PGP589937:PGP589941 PQL589937:PQL589941 QAH589937:QAH589941 QKD589937:QKD589941 QTZ589937:QTZ589941 RDV589937:RDV589941 RNR589937:RNR589941 RXN589937:RXN589941 SHJ589937:SHJ589941 SRF589937:SRF589941 TBB589937:TBB589941 TKX589937:TKX589941 TUT589937:TUT589941 UEP589937:UEP589941 UOL589937:UOL589941 UYH589937:UYH589941 VID589937:VID589941 VRZ589937:VRZ589941 WBV589937:WBV589941 WLR589937:WLR589941 WVN589937:WVN589941 F655473:F655477 JB655473:JB655477 SX655473:SX655477 ACT655473:ACT655477 AMP655473:AMP655477 AWL655473:AWL655477 BGH655473:BGH655477 BQD655473:BQD655477 BZZ655473:BZZ655477 CJV655473:CJV655477 CTR655473:CTR655477 DDN655473:DDN655477 DNJ655473:DNJ655477 DXF655473:DXF655477 EHB655473:EHB655477 EQX655473:EQX655477 FAT655473:FAT655477 FKP655473:FKP655477 FUL655473:FUL655477 GEH655473:GEH655477 GOD655473:GOD655477 GXZ655473:GXZ655477 HHV655473:HHV655477 HRR655473:HRR655477 IBN655473:IBN655477 ILJ655473:ILJ655477 IVF655473:IVF655477 JFB655473:JFB655477 JOX655473:JOX655477 JYT655473:JYT655477 KIP655473:KIP655477 KSL655473:KSL655477 LCH655473:LCH655477 LMD655473:LMD655477 LVZ655473:LVZ655477 MFV655473:MFV655477 MPR655473:MPR655477 MZN655473:MZN655477 NJJ655473:NJJ655477 NTF655473:NTF655477 ODB655473:ODB655477 OMX655473:OMX655477 OWT655473:OWT655477 PGP655473:PGP655477 PQL655473:PQL655477 QAH655473:QAH655477 QKD655473:QKD655477 QTZ655473:QTZ655477 RDV655473:RDV655477 RNR655473:RNR655477 RXN655473:RXN655477 SHJ655473:SHJ655477 SRF655473:SRF655477 TBB655473:TBB655477 TKX655473:TKX655477 TUT655473:TUT655477 UEP655473:UEP655477 UOL655473:UOL655477 UYH655473:UYH655477 VID655473:VID655477 VRZ655473:VRZ655477 WBV655473:WBV655477 WLR655473:WLR655477 WVN655473:WVN655477 F721009:F721013 JB721009:JB721013 SX721009:SX721013 ACT721009:ACT721013 AMP721009:AMP721013 AWL721009:AWL721013 BGH721009:BGH721013 BQD721009:BQD721013 BZZ721009:BZZ721013 CJV721009:CJV721013 CTR721009:CTR721013 DDN721009:DDN721013 DNJ721009:DNJ721013 DXF721009:DXF721013 EHB721009:EHB721013 EQX721009:EQX721013 FAT721009:FAT721013 FKP721009:FKP721013 FUL721009:FUL721013 GEH721009:GEH721013 GOD721009:GOD721013 GXZ721009:GXZ721013 HHV721009:HHV721013 HRR721009:HRR721013 IBN721009:IBN721013 ILJ721009:ILJ721013 IVF721009:IVF721013 JFB721009:JFB721013 JOX721009:JOX721013 JYT721009:JYT721013 KIP721009:KIP721013 KSL721009:KSL721013 LCH721009:LCH721013 LMD721009:LMD721013 LVZ721009:LVZ721013 MFV721009:MFV721013 MPR721009:MPR721013 MZN721009:MZN721013 NJJ721009:NJJ721013 NTF721009:NTF721013 ODB721009:ODB721013 OMX721009:OMX721013 OWT721009:OWT721013 PGP721009:PGP721013 PQL721009:PQL721013 QAH721009:QAH721013 QKD721009:QKD721013 QTZ721009:QTZ721013 RDV721009:RDV721013 RNR721009:RNR721013 RXN721009:RXN721013 SHJ721009:SHJ721013 SRF721009:SRF721013 TBB721009:TBB721013 TKX721009:TKX721013 TUT721009:TUT721013 UEP721009:UEP721013 UOL721009:UOL721013 UYH721009:UYH721013 VID721009:VID721013 VRZ721009:VRZ721013 WBV721009:WBV721013 WLR721009:WLR721013 WVN721009:WVN721013 F786545:F786549 JB786545:JB786549 SX786545:SX786549 ACT786545:ACT786549 AMP786545:AMP786549 AWL786545:AWL786549 BGH786545:BGH786549 BQD786545:BQD786549 BZZ786545:BZZ786549 CJV786545:CJV786549 CTR786545:CTR786549 DDN786545:DDN786549 DNJ786545:DNJ786549 DXF786545:DXF786549 EHB786545:EHB786549 EQX786545:EQX786549 FAT786545:FAT786549 FKP786545:FKP786549 FUL786545:FUL786549 GEH786545:GEH786549 GOD786545:GOD786549 GXZ786545:GXZ786549 HHV786545:HHV786549 HRR786545:HRR786549 IBN786545:IBN786549 ILJ786545:ILJ786549 IVF786545:IVF786549 JFB786545:JFB786549 JOX786545:JOX786549 JYT786545:JYT786549 KIP786545:KIP786549 KSL786545:KSL786549 LCH786545:LCH786549 LMD786545:LMD786549 LVZ786545:LVZ786549 MFV786545:MFV786549 MPR786545:MPR786549 MZN786545:MZN786549 NJJ786545:NJJ786549 NTF786545:NTF786549 ODB786545:ODB786549 OMX786545:OMX786549 OWT786545:OWT786549 PGP786545:PGP786549 PQL786545:PQL786549 QAH786545:QAH786549 QKD786545:QKD786549 QTZ786545:QTZ786549 RDV786545:RDV786549 RNR786545:RNR786549 RXN786545:RXN786549 SHJ786545:SHJ786549 SRF786545:SRF786549 TBB786545:TBB786549 TKX786545:TKX786549 TUT786545:TUT786549 UEP786545:UEP786549 UOL786545:UOL786549 UYH786545:UYH786549 VID786545:VID786549 VRZ786545:VRZ786549 WBV786545:WBV786549 WLR786545:WLR786549 WVN786545:WVN786549 F852081:F852085 JB852081:JB852085 SX852081:SX852085 ACT852081:ACT852085 AMP852081:AMP852085 AWL852081:AWL852085 BGH852081:BGH852085 BQD852081:BQD852085 BZZ852081:BZZ852085 CJV852081:CJV852085 CTR852081:CTR852085 DDN852081:DDN852085 DNJ852081:DNJ852085 DXF852081:DXF852085 EHB852081:EHB852085 EQX852081:EQX852085 FAT852081:FAT852085 FKP852081:FKP852085 FUL852081:FUL852085 GEH852081:GEH852085 GOD852081:GOD852085 GXZ852081:GXZ852085 HHV852081:HHV852085 HRR852081:HRR852085 IBN852081:IBN852085 ILJ852081:ILJ852085 IVF852081:IVF852085 JFB852081:JFB852085 JOX852081:JOX852085 JYT852081:JYT852085 KIP852081:KIP852085 KSL852081:KSL852085 LCH852081:LCH852085 LMD852081:LMD852085 LVZ852081:LVZ852085 MFV852081:MFV852085 MPR852081:MPR852085 MZN852081:MZN852085 NJJ852081:NJJ852085 NTF852081:NTF852085 ODB852081:ODB852085 OMX852081:OMX852085 OWT852081:OWT852085 PGP852081:PGP852085 PQL852081:PQL852085 QAH852081:QAH852085 QKD852081:QKD852085 QTZ852081:QTZ852085 RDV852081:RDV852085 RNR852081:RNR852085 RXN852081:RXN852085 SHJ852081:SHJ852085 SRF852081:SRF852085 TBB852081:TBB852085 TKX852081:TKX852085 TUT852081:TUT852085 UEP852081:UEP852085 UOL852081:UOL852085 UYH852081:UYH852085 VID852081:VID852085 VRZ852081:VRZ852085 WBV852081:WBV852085 WLR852081:WLR852085 WVN852081:WVN852085 F917617:F917621 JB917617:JB917621 SX917617:SX917621 ACT917617:ACT917621 AMP917617:AMP917621 AWL917617:AWL917621 BGH917617:BGH917621 BQD917617:BQD917621 BZZ917617:BZZ917621 CJV917617:CJV917621 CTR917617:CTR917621 DDN917617:DDN917621 DNJ917617:DNJ917621 DXF917617:DXF917621 EHB917617:EHB917621 EQX917617:EQX917621 FAT917617:FAT917621 FKP917617:FKP917621 FUL917617:FUL917621 GEH917617:GEH917621 GOD917617:GOD917621 GXZ917617:GXZ917621 HHV917617:HHV917621 HRR917617:HRR917621 IBN917617:IBN917621 ILJ917617:ILJ917621 IVF917617:IVF917621 JFB917617:JFB917621 JOX917617:JOX917621 JYT917617:JYT917621 KIP917617:KIP917621 KSL917617:KSL917621 LCH917617:LCH917621 LMD917617:LMD917621 LVZ917617:LVZ917621 MFV917617:MFV917621 MPR917617:MPR917621 MZN917617:MZN917621 NJJ917617:NJJ917621 NTF917617:NTF917621 ODB917617:ODB917621 OMX917617:OMX917621 OWT917617:OWT917621 PGP917617:PGP917621 PQL917617:PQL917621 QAH917617:QAH917621 QKD917617:QKD917621 QTZ917617:QTZ917621 RDV917617:RDV917621 RNR917617:RNR917621 RXN917617:RXN917621 SHJ917617:SHJ917621 SRF917617:SRF917621 TBB917617:TBB917621 TKX917617:TKX917621 TUT917617:TUT917621 UEP917617:UEP917621 UOL917617:UOL917621 UYH917617:UYH917621 VID917617:VID917621 VRZ917617:VRZ917621 WBV917617:WBV917621 WLR917617:WLR917621 WVN917617:WVN917621 F983153:F983157 JB983153:JB983157 SX983153:SX983157 ACT983153:ACT983157 AMP983153:AMP983157 AWL983153:AWL983157 BGH983153:BGH983157 BQD983153:BQD983157 BZZ983153:BZZ983157 CJV983153:CJV983157 CTR983153:CTR983157 DDN983153:DDN983157 DNJ983153:DNJ983157 DXF983153:DXF983157 EHB983153:EHB983157 EQX983153:EQX983157 FAT983153:FAT983157 FKP983153:FKP983157 FUL983153:FUL983157 GEH983153:GEH983157 GOD983153:GOD983157 GXZ983153:GXZ983157 HHV983153:HHV983157 HRR983153:HRR983157 IBN983153:IBN983157 ILJ983153:ILJ983157 IVF983153:IVF983157 JFB983153:JFB983157 JOX983153:JOX983157 JYT983153:JYT983157 KIP983153:KIP983157 KSL983153:KSL983157 LCH983153:LCH983157 LMD983153:LMD983157 LVZ983153:LVZ983157 MFV983153:MFV983157 MPR983153:MPR983157 MZN983153:MZN983157 NJJ983153:NJJ983157 NTF983153:NTF983157 ODB983153:ODB983157 OMX983153:OMX983157 OWT983153:OWT983157 PGP983153:PGP983157 PQL983153:PQL983157 QAH983153:QAH983157 QKD983153:QKD983157 QTZ983153:QTZ983157 RDV983153:RDV983157 RNR983153:RNR983157 RXN983153:RXN983157 SHJ983153:SHJ983157 SRF983153:SRF983157 TBB983153:TBB983157 TKX983153:TKX983157 TUT983153:TUT983157 UEP983153:UEP983157 UOL983153:UOL983157 UYH983153:UYH983157 VID983153:VID983157 VRZ983153:VRZ983157 WBV983153:WBV983157 WLR983153:WLR983157 WVN983153:WVN983157 BGY105:BGY107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Q65652:Q65653 JM65652:JM65653 TI65652:TI65653 ADE65652:ADE65653 ANA65652:ANA65653 AWW65652:AWW65653 BGS65652:BGS65653 BQO65652:BQO65653 CAK65652:CAK65653 CKG65652:CKG65653 CUC65652:CUC65653 DDY65652:DDY65653 DNU65652:DNU65653 DXQ65652:DXQ65653 EHM65652:EHM65653 ERI65652:ERI65653 FBE65652:FBE65653 FLA65652:FLA65653 FUW65652:FUW65653 GES65652:GES65653 GOO65652:GOO65653 GYK65652:GYK65653 HIG65652:HIG65653 HSC65652:HSC65653 IBY65652:IBY65653 ILU65652:ILU65653 IVQ65652:IVQ65653 JFM65652:JFM65653 JPI65652:JPI65653 JZE65652:JZE65653 KJA65652:KJA65653 KSW65652:KSW65653 LCS65652:LCS65653 LMO65652:LMO65653 LWK65652:LWK65653 MGG65652:MGG65653 MQC65652:MQC65653 MZY65652:MZY65653 NJU65652:NJU65653 NTQ65652:NTQ65653 ODM65652:ODM65653 ONI65652:ONI65653 OXE65652:OXE65653 PHA65652:PHA65653 PQW65652:PQW65653 QAS65652:QAS65653 QKO65652:QKO65653 QUK65652:QUK65653 REG65652:REG65653 ROC65652:ROC65653 RXY65652:RXY65653 SHU65652:SHU65653 SRQ65652:SRQ65653 TBM65652:TBM65653 TLI65652:TLI65653 TVE65652:TVE65653 UFA65652:UFA65653 UOW65652:UOW65653 UYS65652:UYS65653 VIO65652:VIO65653 VSK65652:VSK65653 WCG65652:WCG65653 WMC65652:WMC65653 WVY65652:WVY65653 Q131188:Q131189 JM131188:JM131189 TI131188:TI131189 ADE131188:ADE131189 ANA131188:ANA131189 AWW131188:AWW131189 BGS131188:BGS131189 BQO131188:BQO131189 CAK131188:CAK131189 CKG131188:CKG131189 CUC131188:CUC131189 DDY131188:DDY131189 DNU131188:DNU131189 DXQ131188:DXQ131189 EHM131188:EHM131189 ERI131188:ERI131189 FBE131188:FBE131189 FLA131188:FLA131189 FUW131188:FUW131189 GES131188:GES131189 GOO131188:GOO131189 GYK131188:GYK131189 HIG131188:HIG131189 HSC131188:HSC131189 IBY131188:IBY131189 ILU131188:ILU131189 IVQ131188:IVQ131189 JFM131188:JFM131189 JPI131188:JPI131189 JZE131188:JZE131189 KJA131188:KJA131189 KSW131188:KSW131189 LCS131188:LCS131189 LMO131188:LMO131189 LWK131188:LWK131189 MGG131188:MGG131189 MQC131188:MQC131189 MZY131188:MZY131189 NJU131188:NJU131189 NTQ131188:NTQ131189 ODM131188:ODM131189 ONI131188:ONI131189 OXE131188:OXE131189 PHA131188:PHA131189 PQW131188:PQW131189 QAS131188:QAS131189 QKO131188:QKO131189 QUK131188:QUK131189 REG131188:REG131189 ROC131188:ROC131189 RXY131188:RXY131189 SHU131188:SHU131189 SRQ131188:SRQ131189 TBM131188:TBM131189 TLI131188:TLI131189 TVE131188:TVE131189 UFA131188:UFA131189 UOW131188:UOW131189 UYS131188:UYS131189 VIO131188:VIO131189 VSK131188:VSK131189 WCG131188:WCG131189 WMC131188:WMC131189 WVY131188:WVY131189 Q196724:Q196725 JM196724:JM196725 TI196724:TI196725 ADE196724:ADE196725 ANA196724:ANA196725 AWW196724:AWW196725 BGS196724:BGS196725 BQO196724:BQO196725 CAK196724:CAK196725 CKG196724:CKG196725 CUC196724:CUC196725 DDY196724:DDY196725 DNU196724:DNU196725 DXQ196724:DXQ196725 EHM196724:EHM196725 ERI196724:ERI196725 FBE196724:FBE196725 FLA196724:FLA196725 FUW196724:FUW196725 GES196724:GES196725 GOO196724:GOO196725 GYK196724:GYK196725 HIG196724:HIG196725 HSC196724:HSC196725 IBY196724:IBY196725 ILU196724:ILU196725 IVQ196724:IVQ196725 JFM196724:JFM196725 JPI196724:JPI196725 JZE196724:JZE196725 KJA196724:KJA196725 KSW196724:KSW196725 LCS196724:LCS196725 LMO196724:LMO196725 LWK196724:LWK196725 MGG196724:MGG196725 MQC196724:MQC196725 MZY196724:MZY196725 NJU196724:NJU196725 NTQ196724:NTQ196725 ODM196724:ODM196725 ONI196724:ONI196725 OXE196724:OXE196725 PHA196724:PHA196725 PQW196724:PQW196725 QAS196724:QAS196725 QKO196724:QKO196725 QUK196724:QUK196725 REG196724:REG196725 ROC196724:ROC196725 RXY196724:RXY196725 SHU196724:SHU196725 SRQ196724:SRQ196725 TBM196724:TBM196725 TLI196724:TLI196725 TVE196724:TVE196725 UFA196724:UFA196725 UOW196724:UOW196725 UYS196724:UYS196725 VIO196724:VIO196725 VSK196724:VSK196725 WCG196724:WCG196725 WMC196724:WMC196725 WVY196724:WVY196725 Q262260:Q262261 JM262260:JM262261 TI262260:TI262261 ADE262260:ADE262261 ANA262260:ANA262261 AWW262260:AWW262261 BGS262260:BGS262261 BQO262260:BQO262261 CAK262260:CAK262261 CKG262260:CKG262261 CUC262260:CUC262261 DDY262260:DDY262261 DNU262260:DNU262261 DXQ262260:DXQ262261 EHM262260:EHM262261 ERI262260:ERI262261 FBE262260:FBE262261 FLA262260:FLA262261 FUW262260:FUW262261 GES262260:GES262261 GOO262260:GOO262261 GYK262260:GYK262261 HIG262260:HIG262261 HSC262260:HSC262261 IBY262260:IBY262261 ILU262260:ILU262261 IVQ262260:IVQ262261 JFM262260:JFM262261 JPI262260:JPI262261 JZE262260:JZE262261 KJA262260:KJA262261 KSW262260:KSW262261 LCS262260:LCS262261 LMO262260:LMO262261 LWK262260:LWK262261 MGG262260:MGG262261 MQC262260:MQC262261 MZY262260:MZY262261 NJU262260:NJU262261 NTQ262260:NTQ262261 ODM262260:ODM262261 ONI262260:ONI262261 OXE262260:OXE262261 PHA262260:PHA262261 PQW262260:PQW262261 QAS262260:QAS262261 QKO262260:QKO262261 QUK262260:QUK262261 REG262260:REG262261 ROC262260:ROC262261 RXY262260:RXY262261 SHU262260:SHU262261 SRQ262260:SRQ262261 TBM262260:TBM262261 TLI262260:TLI262261 TVE262260:TVE262261 UFA262260:UFA262261 UOW262260:UOW262261 UYS262260:UYS262261 VIO262260:VIO262261 VSK262260:VSK262261 WCG262260:WCG262261 WMC262260:WMC262261 WVY262260:WVY262261 Q327796:Q327797 JM327796:JM327797 TI327796:TI327797 ADE327796:ADE327797 ANA327796:ANA327797 AWW327796:AWW327797 BGS327796:BGS327797 BQO327796:BQO327797 CAK327796:CAK327797 CKG327796:CKG327797 CUC327796:CUC327797 DDY327796:DDY327797 DNU327796:DNU327797 DXQ327796:DXQ327797 EHM327796:EHM327797 ERI327796:ERI327797 FBE327796:FBE327797 FLA327796:FLA327797 FUW327796:FUW327797 GES327796:GES327797 GOO327796:GOO327797 GYK327796:GYK327797 HIG327796:HIG327797 HSC327796:HSC327797 IBY327796:IBY327797 ILU327796:ILU327797 IVQ327796:IVQ327797 JFM327796:JFM327797 JPI327796:JPI327797 JZE327796:JZE327797 KJA327796:KJA327797 KSW327796:KSW327797 LCS327796:LCS327797 LMO327796:LMO327797 LWK327796:LWK327797 MGG327796:MGG327797 MQC327796:MQC327797 MZY327796:MZY327797 NJU327796:NJU327797 NTQ327796:NTQ327797 ODM327796:ODM327797 ONI327796:ONI327797 OXE327796:OXE327797 PHA327796:PHA327797 PQW327796:PQW327797 QAS327796:QAS327797 QKO327796:QKO327797 QUK327796:QUK327797 REG327796:REG327797 ROC327796:ROC327797 RXY327796:RXY327797 SHU327796:SHU327797 SRQ327796:SRQ327797 TBM327796:TBM327797 TLI327796:TLI327797 TVE327796:TVE327797 UFA327796:UFA327797 UOW327796:UOW327797 UYS327796:UYS327797 VIO327796:VIO327797 VSK327796:VSK327797 WCG327796:WCG327797 WMC327796:WMC327797 WVY327796:WVY327797 Q393332:Q393333 JM393332:JM393333 TI393332:TI393333 ADE393332:ADE393333 ANA393332:ANA393333 AWW393332:AWW393333 BGS393332:BGS393333 BQO393332:BQO393333 CAK393332:CAK393333 CKG393332:CKG393333 CUC393332:CUC393333 DDY393332:DDY393333 DNU393332:DNU393333 DXQ393332:DXQ393333 EHM393332:EHM393333 ERI393332:ERI393333 FBE393332:FBE393333 FLA393332:FLA393333 FUW393332:FUW393333 GES393332:GES393333 GOO393332:GOO393333 GYK393332:GYK393333 HIG393332:HIG393333 HSC393332:HSC393333 IBY393332:IBY393333 ILU393332:ILU393333 IVQ393332:IVQ393333 JFM393332:JFM393333 JPI393332:JPI393333 JZE393332:JZE393333 KJA393332:KJA393333 KSW393332:KSW393333 LCS393332:LCS393333 LMO393332:LMO393333 LWK393332:LWK393333 MGG393332:MGG393333 MQC393332:MQC393333 MZY393332:MZY393333 NJU393332:NJU393333 NTQ393332:NTQ393333 ODM393332:ODM393333 ONI393332:ONI393333 OXE393332:OXE393333 PHA393332:PHA393333 PQW393332:PQW393333 QAS393332:QAS393333 QKO393332:QKO393333 QUK393332:QUK393333 REG393332:REG393333 ROC393332:ROC393333 RXY393332:RXY393333 SHU393332:SHU393333 SRQ393332:SRQ393333 TBM393332:TBM393333 TLI393332:TLI393333 TVE393332:TVE393333 UFA393332:UFA393333 UOW393332:UOW393333 UYS393332:UYS393333 VIO393332:VIO393333 VSK393332:VSK393333 WCG393332:WCG393333 WMC393332:WMC393333 WVY393332:WVY393333 Q458868:Q458869 JM458868:JM458869 TI458868:TI458869 ADE458868:ADE458869 ANA458868:ANA458869 AWW458868:AWW458869 BGS458868:BGS458869 BQO458868:BQO458869 CAK458868:CAK458869 CKG458868:CKG458869 CUC458868:CUC458869 DDY458868:DDY458869 DNU458868:DNU458869 DXQ458868:DXQ458869 EHM458868:EHM458869 ERI458868:ERI458869 FBE458868:FBE458869 FLA458868:FLA458869 FUW458868:FUW458869 GES458868:GES458869 GOO458868:GOO458869 GYK458868:GYK458869 HIG458868:HIG458869 HSC458868:HSC458869 IBY458868:IBY458869 ILU458868:ILU458869 IVQ458868:IVQ458869 JFM458868:JFM458869 JPI458868:JPI458869 JZE458868:JZE458869 KJA458868:KJA458869 KSW458868:KSW458869 LCS458868:LCS458869 LMO458868:LMO458869 LWK458868:LWK458869 MGG458868:MGG458869 MQC458868:MQC458869 MZY458868:MZY458869 NJU458868:NJU458869 NTQ458868:NTQ458869 ODM458868:ODM458869 ONI458868:ONI458869 OXE458868:OXE458869 PHA458868:PHA458869 PQW458868:PQW458869 QAS458868:QAS458869 QKO458868:QKO458869 QUK458868:QUK458869 REG458868:REG458869 ROC458868:ROC458869 RXY458868:RXY458869 SHU458868:SHU458869 SRQ458868:SRQ458869 TBM458868:TBM458869 TLI458868:TLI458869 TVE458868:TVE458869 UFA458868:UFA458869 UOW458868:UOW458869 UYS458868:UYS458869 VIO458868:VIO458869 VSK458868:VSK458869 WCG458868:WCG458869 WMC458868:WMC458869 WVY458868:WVY458869 Q524404:Q524405 JM524404:JM524405 TI524404:TI524405 ADE524404:ADE524405 ANA524404:ANA524405 AWW524404:AWW524405 BGS524404:BGS524405 BQO524404:BQO524405 CAK524404:CAK524405 CKG524404:CKG524405 CUC524404:CUC524405 DDY524404:DDY524405 DNU524404:DNU524405 DXQ524404:DXQ524405 EHM524404:EHM524405 ERI524404:ERI524405 FBE524404:FBE524405 FLA524404:FLA524405 FUW524404:FUW524405 GES524404:GES524405 GOO524404:GOO524405 GYK524404:GYK524405 HIG524404:HIG524405 HSC524404:HSC524405 IBY524404:IBY524405 ILU524404:ILU524405 IVQ524404:IVQ524405 JFM524404:JFM524405 JPI524404:JPI524405 JZE524404:JZE524405 KJA524404:KJA524405 KSW524404:KSW524405 LCS524404:LCS524405 LMO524404:LMO524405 LWK524404:LWK524405 MGG524404:MGG524405 MQC524404:MQC524405 MZY524404:MZY524405 NJU524404:NJU524405 NTQ524404:NTQ524405 ODM524404:ODM524405 ONI524404:ONI524405 OXE524404:OXE524405 PHA524404:PHA524405 PQW524404:PQW524405 QAS524404:QAS524405 QKO524404:QKO524405 QUK524404:QUK524405 REG524404:REG524405 ROC524404:ROC524405 RXY524404:RXY524405 SHU524404:SHU524405 SRQ524404:SRQ524405 TBM524404:TBM524405 TLI524404:TLI524405 TVE524404:TVE524405 UFA524404:UFA524405 UOW524404:UOW524405 UYS524404:UYS524405 VIO524404:VIO524405 VSK524404:VSK524405 WCG524404:WCG524405 WMC524404:WMC524405 WVY524404:WVY524405 Q589940:Q589941 JM589940:JM589941 TI589940:TI589941 ADE589940:ADE589941 ANA589940:ANA589941 AWW589940:AWW589941 BGS589940:BGS589941 BQO589940:BQO589941 CAK589940:CAK589941 CKG589940:CKG589941 CUC589940:CUC589941 DDY589940:DDY589941 DNU589940:DNU589941 DXQ589940:DXQ589941 EHM589940:EHM589941 ERI589940:ERI589941 FBE589940:FBE589941 FLA589940:FLA589941 FUW589940:FUW589941 GES589940:GES589941 GOO589940:GOO589941 GYK589940:GYK589941 HIG589940:HIG589941 HSC589940:HSC589941 IBY589940:IBY589941 ILU589940:ILU589941 IVQ589940:IVQ589941 JFM589940:JFM589941 JPI589940:JPI589941 JZE589940:JZE589941 KJA589940:KJA589941 KSW589940:KSW589941 LCS589940:LCS589941 LMO589940:LMO589941 LWK589940:LWK589941 MGG589940:MGG589941 MQC589940:MQC589941 MZY589940:MZY589941 NJU589940:NJU589941 NTQ589940:NTQ589941 ODM589940:ODM589941 ONI589940:ONI589941 OXE589940:OXE589941 PHA589940:PHA589941 PQW589940:PQW589941 QAS589940:QAS589941 QKO589940:QKO589941 QUK589940:QUK589941 REG589940:REG589941 ROC589940:ROC589941 RXY589940:RXY589941 SHU589940:SHU589941 SRQ589940:SRQ589941 TBM589940:TBM589941 TLI589940:TLI589941 TVE589940:TVE589941 UFA589940:UFA589941 UOW589940:UOW589941 UYS589940:UYS589941 VIO589940:VIO589941 VSK589940:VSK589941 WCG589940:WCG589941 WMC589940:WMC589941 WVY589940:WVY589941 Q655476:Q655477 JM655476:JM655477 TI655476:TI655477 ADE655476:ADE655477 ANA655476:ANA655477 AWW655476:AWW655477 BGS655476:BGS655477 BQO655476:BQO655477 CAK655476:CAK655477 CKG655476:CKG655477 CUC655476:CUC655477 DDY655476:DDY655477 DNU655476:DNU655477 DXQ655476:DXQ655477 EHM655476:EHM655477 ERI655476:ERI655477 FBE655476:FBE655477 FLA655476:FLA655477 FUW655476:FUW655477 GES655476:GES655477 GOO655476:GOO655477 GYK655476:GYK655477 HIG655476:HIG655477 HSC655476:HSC655477 IBY655476:IBY655477 ILU655476:ILU655477 IVQ655476:IVQ655477 JFM655476:JFM655477 JPI655476:JPI655477 JZE655476:JZE655477 KJA655476:KJA655477 KSW655476:KSW655477 LCS655476:LCS655477 LMO655476:LMO655477 LWK655476:LWK655477 MGG655476:MGG655477 MQC655476:MQC655477 MZY655476:MZY655477 NJU655476:NJU655477 NTQ655476:NTQ655477 ODM655476:ODM655477 ONI655476:ONI655477 OXE655476:OXE655477 PHA655476:PHA655477 PQW655476:PQW655477 QAS655476:QAS655477 QKO655476:QKO655477 QUK655476:QUK655477 REG655476:REG655477 ROC655476:ROC655477 RXY655476:RXY655477 SHU655476:SHU655477 SRQ655476:SRQ655477 TBM655476:TBM655477 TLI655476:TLI655477 TVE655476:TVE655477 UFA655476:UFA655477 UOW655476:UOW655477 UYS655476:UYS655477 VIO655476:VIO655477 VSK655476:VSK655477 WCG655476:WCG655477 WMC655476:WMC655477 WVY655476:WVY655477 Q721012:Q721013 JM721012:JM721013 TI721012:TI721013 ADE721012:ADE721013 ANA721012:ANA721013 AWW721012:AWW721013 BGS721012:BGS721013 BQO721012:BQO721013 CAK721012:CAK721013 CKG721012:CKG721013 CUC721012:CUC721013 DDY721012:DDY721013 DNU721012:DNU721013 DXQ721012:DXQ721013 EHM721012:EHM721013 ERI721012:ERI721013 FBE721012:FBE721013 FLA721012:FLA721013 FUW721012:FUW721013 GES721012:GES721013 GOO721012:GOO721013 GYK721012:GYK721013 HIG721012:HIG721013 HSC721012:HSC721013 IBY721012:IBY721013 ILU721012:ILU721013 IVQ721012:IVQ721013 JFM721012:JFM721013 JPI721012:JPI721013 JZE721012:JZE721013 KJA721012:KJA721013 KSW721012:KSW721013 LCS721012:LCS721013 LMO721012:LMO721013 LWK721012:LWK721013 MGG721012:MGG721013 MQC721012:MQC721013 MZY721012:MZY721013 NJU721012:NJU721013 NTQ721012:NTQ721013 ODM721012:ODM721013 ONI721012:ONI721013 OXE721012:OXE721013 PHA721012:PHA721013 PQW721012:PQW721013 QAS721012:QAS721013 QKO721012:QKO721013 QUK721012:QUK721013 REG721012:REG721013 ROC721012:ROC721013 RXY721012:RXY721013 SHU721012:SHU721013 SRQ721012:SRQ721013 TBM721012:TBM721013 TLI721012:TLI721013 TVE721012:TVE721013 UFA721012:UFA721013 UOW721012:UOW721013 UYS721012:UYS721013 VIO721012:VIO721013 VSK721012:VSK721013 WCG721012:WCG721013 WMC721012:WMC721013 WVY721012:WVY721013 Q786548:Q786549 JM786548:JM786549 TI786548:TI786549 ADE786548:ADE786549 ANA786548:ANA786549 AWW786548:AWW786549 BGS786548:BGS786549 BQO786548:BQO786549 CAK786548:CAK786549 CKG786548:CKG786549 CUC786548:CUC786549 DDY786548:DDY786549 DNU786548:DNU786549 DXQ786548:DXQ786549 EHM786548:EHM786549 ERI786548:ERI786549 FBE786548:FBE786549 FLA786548:FLA786549 FUW786548:FUW786549 GES786548:GES786549 GOO786548:GOO786549 GYK786548:GYK786549 HIG786548:HIG786549 HSC786548:HSC786549 IBY786548:IBY786549 ILU786548:ILU786549 IVQ786548:IVQ786549 JFM786548:JFM786549 JPI786548:JPI786549 JZE786548:JZE786549 KJA786548:KJA786549 KSW786548:KSW786549 LCS786548:LCS786549 LMO786548:LMO786549 LWK786548:LWK786549 MGG786548:MGG786549 MQC786548:MQC786549 MZY786548:MZY786549 NJU786548:NJU786549 NTQ786548:NTQ786549 ODM786548:ODM786549 ONI786548:ONI786549 OXE786548:OXE786549 PHA786548:PHA786549 PQW786548:PQW786549 QAS786548:QAS786549 QKO786548:QKO786549 QUK786548:QUK786549 REG786548:REG786549 ROC786548:ROC786549 RXY786548:RXY786549 SHU786548:SHU786549 SRQ786548:SRQ786549 TBM786548:TBM786549 TLI786548:TLI786549 TVE786548:TVE786549 UFA786548:UFA786549 UOW786548:UOW786549 UYS786548:UYS786549 VIO786548:VIO786549 VSK786548:VSK786549 WCG786548:WCG786549 WMC786548:WMC786549 WVY786548:WVY786549 Q852084:Q852085 JM852084:JM852085 TI852084:TI852085 ADE852084:ADE852085 ANA852084:ANA852085 AWW852084:AWW852085 BGS852084:BGS852085 BQO852084:BQO852085 CAK852084:CAK852085 CKG852084:CKG852085 CUC852084:CUC852085 DDY852084:DDY852085 DNU852084:DNU852085 DXQ852084:DXQ852085 EHM852084:EHM852085 ERI852084:ERI852085 FBE852084:FBE852085 FLA852084:FLA852085 FUW852084:FUW852085 GES852084:GES852085 GOO852084:GOO852085 GYK852084:GYK852085 HIG852084:HIG852085 HSC852084:HSC852085 IBY852084:IBY852085 ILU852084:ILU852085 IVQ852084:IVQ852085 JFM852084:JFM852085 JPI852084:JPI852085 JZE852084:JZE852085 KJA852084:KJA852085 KSW852084:KSW852085 LCS852084:LCS852085 LMO852084:LMO852085 LWK852084:LWK852085 MGG852084:MGG852085 MQC852084:MQC852085 MZY852084:MZY852085 NJU852084:NJU852085 NTQ852084:NTQ852085 ODM852084:ODM852085 ONI852084:ONI852085 OXE852084:OXE852085 PHA852084:PHA852085 PQW852084:PQW852085 QAS852084:QAS852085 QKO852084:QKO852085 QUK852084:QUK852085 REG852084:REG852085 ROC852084:ROC852085 RXY852084:RXY852085 SHU852084:SHU852085 SRQ852084:SRQ852085 TBM852084:TBM852085 TLI852084:TLI852085 TVE852084:TVE852085 UFA852084:UFA852085 UOW852084:UOW852085 UYS852084:UYS852085 VIO852084:VIO852085 VSK852084:VSK852085 WCG852084:WCG852085 WMC852084:WMC852085 WVY852084:WVY852085 Q917620:Q917621 JM917620:JM917621 TI917620:TI917621 ADE917620:ADE917621 ANA917620:ANA917621 AWW917620:AWW917621 BGS917620:BGS917621 BQO917620:BQO917621 CAK917620:CAK917621 CKG917620:CKG917621 CUC917620:CUC917621 DDY917620:DDY917621 DNU917620:DNU917621 DXQ917620:DXQ917621 EHM917620:EHM917621 ERI917620:ERI917621 FBE917620:FBE917621 FLA917620:FLA917621 FUW917620:FUW917621 GES917620:GES917621 GOO917620:GOO917621 GYK917620:GYK917621 HIG917620:HIG917621 HSC917620:HSC917621 IBY917620:IBY917621 ILU917620:ILU917621 IVQ917620:IVQ917621 JFM917620:JFM917621 JPI917620:JPI917621 JZE917620:JZE917621 KJA917620:KJA917621 KSW917620:KSW917621 LCS917620:LCS917621 LMO917620:LMO917621 LWK917620:LWK917621 MGG917620:MGG917621 MQC917620:MQC917621 MZY917620:MZY917621 NJU917620:NJU917621 NTQ917620:NTQ917621 ODM917620:ODM917621 ONI917620:ONI917621 OXE917620:OXE917621 PHA917620:PHA917621 PQW917620:PQW917621 QAS917620:QAS917621 QKO917620:QKO917621 QUK917620:QUK917621 REG917620:REG917621 ROC917620:ROC917621 RXY917620:RXY917621 SHU917620:SHU917621 SRQ917620:SRQ917621 TBM917620:TBM917621 TLI917620:TLI917621 TVE917620:TVE917621 UFA917620:UFA917621 UOW917620:UOW917621 UYS917620:UYS917621 VIO917620:VIO917621 VSK917620:VSK917621 WCG917620:WCG917621 WMC917620:WMC917621 WVY917620:WVY917621 Q983156:Q983157 JM983156:JM983157 TI983156:TI983157 ADE983156:ADE983157 ANA983156:ANA983157 AWW983156:AWW983157 BGS983156:BGS983157 BQO983156:BQO983157 CAK983156:CAK983157 CKG983156:CKG983157 CUC983156:CUC983157 DDY983156:DDY983157 DNU983156:DNU983157 DXQ983156:DXQ983157 EHM983156:EHM983157 ERI983156:ERI983157 FBE983156:FBE983157 FLA983156:FLA983157 FUW983156:FUW983157 GES983156:GES983157 GOO983156:GOO983157 GYK983156:GYK983157 HIG983156:HIG983157 HSC983156:HSC983157 IBY983156:IBY983157 ILU983156:ILU983157 IVQ983156:IVQ983157 JFM983156:JFM983157 JPI983156:JPI983157 JZE983156:JZE983157 KJA983156:KJA983157 KSW983156:KSW983157 LCS983156:LCS983157 LMO983156:LMO983157 LWK983156:LWK983157 MGG983156:MGG983157 MQC983156:MQC983157 MZY983156:MZY983157 NJU983156:NJU983157 NTQ983156:NTQ983157 ODM983156:ODM983157 ONI983156:ONI983157 OXE983156:OXE983157 PHA983156:PHA983157 PQW983156:PQW983157 QAS983156:QAS983157 QKO983156:QKO983157 QUK983156:QUK983157 REG983156:REG983157 ROC983156:ROC983157 RXY983156:RXY983157 SHU983156:SHU983157 SRQ983156:SRQ983157 TBM983156:TBM983157 TLI983156:TLI983157 TVE983156:TVE983157 UFA983156:UFA983157 UOW983156:UOW983157 UYS983156:UYS983157 VIO983156:VIO983157 VSK983156:VSK983157 WCG983156:WCG983157 WMC983156:WMC983157 WVY983156:WVY983157 JS105:JS107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H65643 JD65643 SZ65643 ACV65643 AMR65643 AWN65643 BGJ65643 BQF65643 CAB65643 CJX65643 CTT65643 DDP65643 DNL65643 DXH65643 EHD65643 EQZ65643 FAV65643 FKR65643 FUN65643 GEJ65643 GOF65643 GYB65643 HHX65643 HRT65643 IBP65643 ILL65643 IVH65643 JFD65643 JOZ65643 JYV65643 KIR65643 KSN65643 LCJ65643 LMF65643 LWB65643 MFX65643 MPT65643 MZP65643 NJL65643 NTH65643 ODD65643 OMZ65643 OWV65643 PGR65643 PQN65643 QAJ65643 QKF65643 QUB65643 RDX65643 RNT65643 RXP65643 SHL65643 SRH65643 TBD65643 TKZ65643 TUV65643 UER65643 UON65643 UYJ65643 VIF65643 VSB65643 WBX65643 WLT65643 WVP65643 H131179 JD131179 SZ131179 ACV131179 AMR131179 AWN131179 BGJ131179 BQF131179 CAB131179 CJX131179 CTT131179 DDP131179 DNL131179 DXH131179 EHD131179 EQZ131179 FAV131179 FKR131179 FUN131179 GEJ131179 GOF131179 GYB131179 HHX131179 HRT131179 IBP131179 ILL131179 IVH131179 JFD131179 JOZ131179 JYV131179 KIR131179 KSN131179 LCJ131179 LMF131179 LWB131179 MFX131179 MPT131179 MZP131179 NJL131179 NTH131179 ODD131179 OMZ131179 OWV131179 PGR131179 PQN131179 QAJ131179 QKF131179 QUB131179 RDX131179 RNT131179 RXP131179 SHL131179 SRH131179 TBD131179 TKZ131179 TUV131179 UER131179 UON131179 UYJ131179 VIF131179 VSB131179 WBX131179 WLT131179 WVP131179 H196715 JD196715 SZ196715 ACV196715 AMR196715 AWN196715 BGJ196715 BQF196715 CAB196715 CJX196715 CTT196715 DDP196715 DNL196715 DXH196715 EHD196715 EQZ196715 FAV196715 FKR196715 FUN196715 GEJ196715 GOF196715 GYB196715 HHX196715 HRT196715 IBP196715 ILL196715 IVH196715 JFD196715 JOZ196715 JYV196715 KIR196715 KSN196715 LCJ196715 LMF196715 LWB196715 MFX196715 MPT196715 MZP196715 NJL196715 NTH196715 ODD196715 OMZ196715 OWV196715 PGR196715 PQN196715 QAJ196715 QKF196715 QUB196715 RDX196715 RNT196715 RXP196715 SHL196715 SRH196715 TBD196715 TKZ196715 TUV196715 UER196715 UON196715 UYJ196715 VIF196715 VSB196715 WBX196715 WLT196715 WVP196715 H262251 JD262251 SZ262251 ACV262251 AMR262251 AWN262251 BGJ262251 BQF262251 CAB262251 CJX262251 CTT262251 DDP262251 DNL262251 DXH262251 EHD262251 EQZ262251 FAV262251 FKR262251 FUN262251 GEJ262251 GOF262251 GYB262251 HHX262251 HRT262251 IBP262251 ILL262251 IVH262251 JFD262251 JOZ262251 JYV262251 KIR262251 KSN262251 LCJ262251 LMF262251 LWB262251 MFX262251 MPT262251 MZP262251 NJL262251 NTH262251 ODD262251 OMZ262251 OWV262251 PGR262251 PQN262251 QAJ262251 QKF262251 QUB262251 RDX262251 RNT262251 RXP262251 SHL262251 SRH262251 TBD262251 TKZ262251 TUV262251 UER262251 UON262251 UYJ262251 VIF262251 VSB262251 WBX262251 WLT262251 WVP262251 H327787 JD327787 SZ327787 ACV327787 AMR327787 AWN327787 BGJ327787 BQF327787 CAB327787 CJX327787 CTT327787 DDP327787 DNL327787 DXH327787 EHD327787 EQZ327787 FAV327787 FKR327787 FUN327787 GEJ327787 GOF327787 GYB327787 HHX327787 HRT327787 IBP327787 ILL327787 IVH327787 JFD327787 JOZ327787 JYV327787 KIR327787 KSN327787 LCJ327787 LMF327787 LWB327787 MFX327787 MPT327787 MZP327787 NJL327787 NTH327787 ODD327787 OMZ327787 OWV327787 PGR327787 PQN327787 QAJ327787 QKF327787 QUB327787 RDX327787 RNT327787 RXP327787 SHL327787 SRH327787 TBD327787 TKZ327787 TUV327787 UER327787 UON327787 UYJ327787 VIF327787 VSB327787 WBX327787 WLT327787 WVP327787 H393323 JD393323 SZ393323 ACV393323 AMR393323 AWN393323 BGJ393323 BQF393323 CAB393323 CJX393323 CTT393323 DDP393323 DNL393323 DXH393323 EHD393323 EQZ393323 FAV393323 FKR393323 FUN393323 GEJ393323 GOF393323 GYB393323 HHX393323 HRT393323 IBP393323 ILL393323 IVH393323 JFD393323 JOZ393323 JYV393323 KIR393323 KSN393323 LCJ393323 LMF393323 LWB393323 MFX393323 MPT393323 MZP393323 NJL393323 NTH393323 ODD393323 OMZ393323 OWV393323 PGR393323 PQN393323 QAJ393323 QKF393323 QUB393323 RDX393323 RNT393323 RXP393323 SHL393323 SRH393323 TBD393323 TKZ393323 TUV393323 UER393323 UON393323 UYJ393323 VIF393323 VSB393323 WBX393323 WLT393323 WVP393323 H458859 JD458859 SZ458859 ACV458859 AMR458859 AWN458859 BGJ458859 BQF458859 CAB458859 CJX458859 CTT458859 DDP458859 DNL458859 DXH458859 EHD458859 EQZ458859 FAV458859 FKR458859 FUN458859 GEJ458859 GOF458859 GYB458859 HHX458859 HRT458859 IBP458859 ILL458859 IVH458859 JFD458859 JOZ458859 JYV458859 KIR458859 KSN458859 LCJ458859 LMF458859 LWB458859 MFX458859 MPT458859 MZP458859 NJL458859 NTH458859 ODD458859 OMZ458859 OWV458859 PGR458859 PQN458859 QAJ458859 QKF458859 QUB458859 RDX458859 RNT458859 RXP458859 SHL458859 SRH458859 TBD458859 TKZ458859 TUV458859 UER458859 UON458859 UYJ458859 VIF458859 VSB458859 WBX458859 WLT458859 WVP458859 H524395 JD524395 SZ524395 ACV524395 AMR524395 AWN524395 BGJ524395 BQF524395 CAB524395 CJX524395 CTT524395 DDP524395 DNL524395 DXH524395 EHD524395 EQZ524395 FAV524395 FKR524395 FUN524395 GEJ524395 GOF524395 GYB524395 HHX524395 HRT524395 IBP524395 ILL524395 IVH524395 JFD524395 JOZ524395 JYV524395 KIR524395 KSN524395 LCJ524395 LMF524395 LWB524395 MFX524395 MPT524395 MZP524395 NJL524395 NTH524395 ODD524395 OMZ524395 OWV524395 PGR524395 PQN524395 QAJ524395 QKF524395 QUB524395 RDX524395 RNT524395 RXP524395 SHL524395 SRH524395 TBD524395 TKZ524395 TUV524395 UER524395 UON524395 UYJ524395 VIF524395 VSB524395 WBX524395 WLT524395 WVP524395 H589931 JD589931 SZ589931 ACV589931 AMR589931 AWN589931 BGJ589931 BQF589931 CAB589931 CJX589931 CTT589931 DDP589931 DNL589931 DXH589931 EHD589931 EQZ589931 FAV589931 FKR589931 FUN589931 GEJ589931 GOF589931 GYB589931 HHX589931 HRT589931 IBP589931 ILL589931 IVH589931 JFD589931 JOZ589931 JYV589931 KIR589931 KSN589931 LCJ589931 LMF589931 LWB589931 MFX589931 MPT589931 MZP589931 NJL589931 NTH589931 ODD589931 OMZ589931 OWV589931 PGR589931 PQN589931 QAJ589931 QKF589931 QUB589931 RDX589931 RNT589931 RXP589931 SHL589931 SRH589931 TBD589931 TKZ589931 TUV589931 UER589931 UON589931 UYJ589931 VIF589931 VSB589931 WBX589931 WLT589931 WVP589931 H655467 JD655467 SZ655467 ACV655467 AMR655467 AWN655467 BGJ655467 BQF655467 CAB655467 CJX655467 CTT655467 DDP655467 DNL655467 DXH655467 EHD655467 EQZ655467 FAV655467 FKR655467 FUN655467 GEJ655467 GOF655467 GYB655467 HHX655467 HRT655467 IBP655467 ILL655467 IVH655467 JFD655467 JOZ655467 JYV655467 KIR655467 KSN655467 LCJ655467 LMF655467 LWB655467 MFX655467 MPT655467 MZP655467 NJL655467 NTH655467 ODD655467 OMZ655467 OWV655467 PGR655467 PQN655467 QAJ655467 QKF655467 QUB655467 RDX655467 RNT655467 RXP655467 SHL655467 SRH655467 TBD655467 TKZ655467 TUV655467 UER655467 UON655467 UYJ655467 VIF655467 VSB655467 WBX655467 WLT655467 WVP655467 H721003 JD721003 SZ721003 ACV721003 AMR721003 AWN721003 BGJ721003 BQF721003 CAB721003 CJX721003 CTT721003 DDP721003 DNL721003 DXH721003 EHD721003 EQZ721003 FAV721003 FKR721003 FUN721003 GEJ721003 GOF721003 GYB721003 HHX721003 HRT721003 IBP721003 ILL721003 IVH721003 JFD721003 JOZ721003 JYV721003 KIR721003 KSN721003 LCJ721003 LMF721003 LWB721003 MFX721003 MPT721003 MZP721003 NJL721003 NTH721003 ODD721003 OMZ721003 OWV721003 PGR721003 PQN721003 QAJ721003 QKF721003 QUB721003 RDX721003 RNT721003 RXP721003 SHL721003 SRH721003 TBD721003 TKZ721003 TUV721003 UER721003 UON721003 UYJ721003 VIF721003 VSB721003 WBX721003 WLT721003 WVP721003 H786539 JD786539 SZ786539 ACV786539 AMR786539 AWN786539 BGJ786539 BQF786539 CAB786539 CJX786539 CTT786539 DDP786539 DNL786539 DXH786539 EHD786539 EQZ786539 FAV786539 FKR786539 FUN786539 GEJ786539 GOF786539 GYB786539 HHX786539 HRT786539 IBP786539 ILL786539 IVH786539 JFD786539 JOZ786539 JYV786539 KIR786539 KSN786539 LCJ786539 LMF786539 LWB786539 MFX786539 MPT786539 MZP786539 NJL786539 NTH786539 ODD786539 OMZ786539 OWV786539 PGR786539 PQN786539 QAJ786539 QKF786539 QUB786539 RDX786539 RNT786539 RXP786539 SHL786539 SRH786539 TBD786539 TKZ786539 TUV786539 UER786539 UON786539 UYJ786539 VIF786539 VSB786539 WBX786539 WLT786539 WVP786539 H852075 JD852075 SZ852075 ACV852075 AMR852075 AWN852075 BGJ852075 BQF852075 CAB852075 CJX852075 CTT852075 DDP852075 DNL852075 DXH852075 EHD852075 EQZ852075 FAV852075 FKR852075 FUN852075 GEJ852075 GOF852075 GYB852075 HHX852075 HRT852075 IBP852075 ILL852075 IVH852075 JFD852075 JOZ852075 JYV852075 KIR852075 KSN852075 LCJ852075 LMF852075 LWB852075 MFX852075 MPT852075 MZP852075 NJL852075 NTH852075 ODD852075 OMZ852075 OWV852075 PGR852075 PQN852075 QAJ852075 QKF852075 QUB852075 RDX852075 RNT852075 RXP852075 SHL852075 SRH852075 TBD852075 TKZ852075 TUV852075 UER852075 UON852075 UYJ852075 VIF852075 VSB852075 WBX852075 WLT852075 WVP852075 H917611 JD917611 SZ917611 ACV917611 AMR917611 AWN917611 BGJ917611 BQF917611 CAB917611 CJX917611 CTT917611 DDP917611 DNL917611 DXH917611 EHD917611 EQZ917611 FAV917611 FKR917611 FUN917611 GEJ917611 GOF917611 GYB917611 HHX917611 HRT917611 IBP917611 ILL917611 IVH917611 JFD917611 JOZ917611 JYV917611 KIR917611 KSN917611 LCJ917611 LMF917611 LWB917611 MFX917611 MPT917611 MZP917611 NJL917611 NTH917611 ODD917611 OMZ917611 OWV917611 PGR917611 PQN917611 QAJ917611 QKF917611 QUB917611 RDX917611 RNT917611 RXP917611 SHL917611 SRH917611 TBD917611 TKZ917611 TUV917611 UER917611 UON917611 UYJ917611 VIF917611 VSB917611 WBX917611 WLT917611 WVP917611 H983147 JD983147 SZ983147 ACV983147 AMR983147 AWN983147 BGJ983147 BQF983147 CAB983147 CJX983147 CTT983147 DDP983147 DNL983147 DXH983147 EHD983147 EQZ983147 FAV983147 FKR983147 FUN983147 GEJ983147 GOF983147 GYB983147 HHX983147 HRT983147 IBP983147 ILL983147 IVH983147 JFD983147 JOZ983147 JYV983147 KIR983147 KSN983147 LCJ983147 LMF983147 LWB983147 MFX983147 MPT983147 MZP983147 NJL983147 NTH983147 ODD983147 OMZ983147 OWV983147 PGR983147 PQN983147 QAJ983147 QKF983147 QUB983147 RDX983147 RNT983147 RXP983147 SHL983147 SRH983147 TBD983147 TKZ983147 TUV983147 UER983147 UON983147 UYJ983147 VIF983147 VSB983147 WBX983147 WLT983147 WVP983147 CKM105:CKM107 JL120 TH120 ADD120 AMZ120 AWV120 BGR120 BQN120 CAJ120 CKF120 CUB120 DDX120 DNT120 DXP120 EHL120 ERH120 FBD120 FKZ120 FUV120 GER120 GON120 GYJ120 HIF120 HSB120 IBX120 ILT120 IVP120 JFL120 JPH120 JZD120 KIZ120 KSV120 LCR120 LMN120 LWJ120 MGF120 MQB120 MZX120 NJT120 NTP120 ODL120 ONH120 OXD120 PGZ120 PQV120 QAR120 QKN120 QUJ120 REF120 ROB120 RXX120 SHT120 SRP120 TBL120 TLH120 TVD120 UEZ120 UOV120 UYR120 VIN120 VSJ120 WCF120 WMB120 WVX120 P65656 JL65656 TH65656 ADD65656 AMZ65656 AWV65656 BGR65656 BQN65656 CAJ65656 CKF65656 CUB65656 DDX65656 DNT65656 DXP65656 EHL65656 ERH65656 FBD65656 FKZ65656 FUV65656 GER65656 GON65656 GYJ65656 HIF65656 HSB65656 IBX65656 ILT65656 IVP65656 JFL65656 JPH65656 JZD65656 KIZ65656 KSV65656 LCR65656 LMN65656 LWJ65656 MGF65656 MQB65656 MZX65656 NJT65656 NTP65656 ODL65656 ONH65656 OXD65656 PGZ65656 PQV65656 QAR65656 QKN65656 QUJ65656 REF65656 ROB65656 RXX65656 SHT65656 SRP65656 TBL65656 TLH65656 TVD65656 UEZ65656 UOV65656 UYR65656 VIN65656 VSJ65656 WCF65656 WMB65656 WVX65656 P131192 JL131192 TH131192 ADD131192 AMZ131192 AWV131192 BGR131192 BQN131192 CAJ131192 CKF131192 CUB131192 DDX131192 DNT131192 DXP131192 EHL131192 ERH131192 FBD131192 FKZ131192 FUV131192 GER131192 GON131192 GYJ131192 HIF131192 HSB131192 IBX131192 ILT131192 IVP131192 JFL131192 JPH131192 JZD131192 KIZ131192 KSV131192 LCR131192 LMN131192 LWJ131192 MGF131192 MQB131192 MZX131192 NJT131192 NTP131192 ODL131192 ONH131192 OXD131192 PGZ131192 PQV131192 QAR131192 QKN131192 QUJ131192 REF131192 ROB131192 RXX131192 SHT131192 SRP131192 TBL131192 TLH131192 TVD131192 UEZ131192 UOV131192 UYR131192 VIN131192 VSJ131192 WCF131192 WMB131192 WVX131192 P196728 JL196728 TH196728 ADD196728 AMZ196728 AWV196728 BGR196728 BQN196728 CAJ196728 CKF196728 CUB196728 DDX196728 DNT196728 DXP196728 EHL196728 ERH196728 FBD196728 FKZ196728 FUV196728 GER196728 GON196728 GYJ196728 HIF196728 HSB196728 IBX196728 ILT196728 IVP196728 JFL196728 JPH196728 JZD196728 KIZ196728 KSV196728 LCR196728 LMN196728 LWJ196728 MGF196728 MQB196728 MZX196728 NJT196728 NTP196728 ODL196728 ONH196728 OXD196728 PGZ196728 PQV196728 QAR196728 QKN196728 QUJ196728 REF196728 ROB196728 RXX196728 SHT196728 SRP196728 TBL196728 TLH196728 TVD196728 UEZ196728 UOV196728 UYR196728 VIN196728 VSJ196728 WCF196728 WMB196728 WVX196728 P262264 JL262264 TH262264 ADD262264 AMZ262264 AWV262264 BGR262264 BQN262264 CAJ262264 CKF262264 CUB262264 DDX262264 DNT262264 DXP262264 EHL262264 ERH262264 FBD262264 FKZ262264 FUV262264 GER262264 GON262264 GYJ262264 HIF262264 HSB262264 IBX262264 ILT262264 IVP262264 JFL262264 JPH262264 JZD262264 KIZ262264 KSV262264 LCR262264 LMN262264 LWJ262264 MGF262264 MQB262264 MZX262264 NJT262264 NTP262264 ODL262264 ONH262264 OXD262264 PGZ262264 PQV262264 QAR262264 QKN262264 QUJ262264 REF262264 ROB262264 RXX262264 SHT262264 SRP262264 TBL262264 TLH262264 TVD262264 UEZ262264 UOV262264 UYR262264 VIN262264 VSJ262264 WCF262264 WMB262264 WVX262264 P327800 JL327800 TH327800 ADD327800 AMZ327800 AWV327800 BGR327800 BQN327800 CAJ327800 CKF327800 CUB327800 DDX327800 DNT327800 DXP327800 EHL327800 ERH327800 FBD327800 FKZ327800 FUV327800 GER327800 GON327800 GYJ327800 HIF327800 HSB327800 IBX327800 ILT327800 IVP327800 JFL327800 JPH327800 JZD327800 KIZ327800 KSV327800 LCR327800 LMN327800 LWJ327800 MGF327800 MQB327800 MZX327800 NJT327800 NTP327800 ODL327800 ONH327800 OXD327800 PGZ327800 PQV327800 QAR327800 QKN327800 QUJ327800 REF327800 ROB327800 RXX327800 SHT327800 SRP327800 TBL327800 TLH327800 TVD327800 UEZ327800 UOV327800 UYR327800 VIN327800 VSJ327800 WCF327800 WMB327800 WVX327800 P393336 JL393336 TH393336 ADD393336 AMZ393336 AWV393336 BGR393336 BQN393336 CAJ393336 CKF393336 CUB393336 DDX393336 DNT393336 DXP393336 EHL393336 ERH393336 FBD393336 FKZ393336 FUV393336 GER393336 GON393336 GYJ393336 HIF393336 HSB393336 IBX393336 ILT393336 IVP393336 JFL393336 JPH393336 JZD393336 KIZ393336 KSV393336 LCR393336 LMN393336 LWJ393336 MGF393336 MQB393336 MZX393336 NJT393336 NTP393336 ODL393336 ONH393336 OXD393336 PGZ393336 PQV393336 QAR393336 QKN393336 QUJ393336 REF393336 ROB393336 RXX393336 SHT393336 SRP393336 TBL393336 TLH393336 TVD393336 UEZ393336 UOV393336 UYR393336 VIN393336 VSJ393336 WCF393336 WMB393336 WVX393336 P458872 JL458872 TH458872 ADD458872 AMZ458872 AWV458872 BGR458872 BQN458872 CAJ458872 CKF458872 CUB458872 DDX458872 DNT458872 DXP458872 EHL458872 ERH458872 FBD458872 FKZ458872 FUV458872 GER458872 GON458872 GYJ458872 HIF458872 HSB458872 IBX458872 ILT458872 IVP458872 JFL458872 JPH458872 JZD458872 KIZ458872 KSV458872 LCR458872 LMN458872 LWJ458872 MGF458872 MQB458872 MZX458872 NJT458872 NTP458872 ODL458872 ONH458872 OXD458872 PGZ458872 PQV458872 QAR458872 QKN458872 QUJ458872 REF458872 ROB458872 RXX458872 SHT458872 SRP458872 TBL458872 TLH458872 TVD458872 UEZ458872 UOV458872 UYR458872 VIN458872 VSJ458872 WCF458872 WMB458872 WVX458872 P524408 JL524408 TH524408 ADD524408 AMZ524408 AWV524408 BGR524408 BQN524408 CAJ524408 CKF524408 CUB524408 DDX524408 DNT524408 DXP524408 EHL524408 ERH524408 FBD524408 FKZ524408 FUV524408 GER524408 GON524408 GYJ524408 HIF524408 HSB524408 IBX524408 ILT524408 IVP524408 JFL524408 JPH524408 JZD524408 KIZ524408 KSV524408 LCR524408 LMN524408 LWJ524408 MGF524408 MQB524408 MZX524408 NJT524408 NTP524408 ODL524408 ONH524408 OXD524408 PGZ524408 PQV524408 QAR524408 QKN524408 QUJ524408 REF524408 ROB524408 RXX524408 SHT524408 SRP524408 TBL524408 TLH524408 TVD524408 UEZ524408 UOV524408 UYR524408 VIN524408 VSJ524408 WCF524408 WMB524408 WVX524408 P589944 JL589944 TH589944 ADD589944 AMZ589944 AWV589944 BGR589944 BQN589944 CAJ589944 CKF589944 CUB589944 DDX589944 DNT589944 DXP589944 EHL589944 ERH589944 FBD589944 FKZ589944 FUV589944 GER589944 GON589944 GYJ589944 HIF589944 HSB589944 IBX589944 ILT589944 IVP589944 JFL589944 JPH589944 JZD589944 KIZ589944 KSV589944 LCR589944 LMN589944 LWJ589944 MGF589944 MQB589944 MZX589944 NJT589944 NTP589944 ODL589944 ONH589944 OXD589944 PGZ589944 PQV589944 QAR589944 QKN589944 QUJ589944 REF589944 ROB589944 RXX589944 SHT589944 SRP589944 TBL589944 TLH589944 TVD589944 UEZ589944 UOV589944 UYR589944 VIN589944 VSJ589944 WCF589944 WMB589944 WVX589944 P655480 JL655480 TH655480 ADD655480 AMZ655480 AWV655480 BGR655480 BQN655480 CAJ655480 CKF655480 CUB655480 DDX655480 DNT655480 DXP655480 EHL655480 ERH655480 FBD655480 FKZ655480 FUV655480 GER655480 GON655480 GYJ655480 HIF655480 HSB655480 IBX655480 ILT655480 IVP655480 JFL655480 JPH655480 JZD655480 KIZ655480 KSV655480 LCR655480 LMN655480 LWJ655480 MGF655480 MQB655480 MZX655480 NJT655480 NTP655480 ODL655480 ONH655480 OXD655480 PGZ655480 PQV655480 QAR655480 QKN655480 QUJ655480 REF655480 ROB655480 RXX655480 SHT655480 SRP655480 TBL655480 TLH655480 TVD655480 UEZ655480 UOV655480 UYR655480 VIN655480 VSJ655480 WCF655480 WMB655480 WVX655480 P721016 JL721016 TH721016 ADD721016 AMZ721016 AWV721016 BGR721016 BQN721016 CAJ721016 CKF721016 CUB721016 DDX721016 DNT721016 DXP721016 EHL721016 ERH721016 FBD721016 FKZ721016 FUV721016 GER721016 GON721016 GYJ721016 HIF721016 HSB721016 IBX721016 ILT721016 IVP721016 JFL721016 JPH721016 JZD721016 KIZ721016 KSV721016 LCR721016 LMN721016 LWJ721016 MGF721016 MQB721016 MZX721016 NJT721016 NTP721016 ODL721016 ONH721016 OXD721016 PGZ721016 PQV721016 QAR721016 QKN721016 QUJ721016 REF721016 ROB721016 RXX721016 SHT721016 SRP721016 TBL721016 TLH721016 TVD721016 UEZ721016 UOV721016 UYR721016 VIN721016 VSJ721016 WCF721016 WMB721016 WVX721016 P786552 JL786552 TH786552 ADD786552 AMZ786552 AWV786552 BGR786552 BQN786552 CAJ786552 CKF786552 CUB786552 DDX786552 DNT786552 DXP786552 EHL786552 ERH786552 FBD786552 FKZ786552 FUV786552 GER786552 GON786552 GYJ786552 HIF786552 HSB786552 IBX786552 ILT786552 IVP786552 JFL786552 JPH786552 JZD786552 KIZ786552 KSV786552 LCR786552 LMN786552 LWJ786552 MGF786552 MQB786552 MZX786552 NJT786552 NTP786552 ODL786552 ONH786552 OXD786552 PGZ786552 PQV786552 QAR786552 QKN786552 QUJ786552 REF786552 ROB786552 RXX786552 SHT786552 SRP786552 TBL786552 TLH786552 TVD786552 UEZ786552 UOV786552 UYR786552 VIN786552 VSJ786552 WCF786552 WMB786552 WVX786552 P852088 JL852088 TH852088 ADD852088 AMZ852088 AWV852088 BGR852088 BQN852088 CAJ852088 CKF852088 CUB852088 DDX852088 DNT852088 DXP852088 EHL852088 ERH852088 FBD852088 FKZ852088 FUV852088 GER852088 GON852088 GYJ852088 HIF852088 HSB852088 IBX852088 ILT852088 IVP852088 JFL852088 JPH852088 JZD852088 KIZ852088 KSV852088 LCR852088 LMN852088 LWJ852088 MGF852088 MQB852088 MZX852088 NJT852088 NTP852088 ODL852088 ONH852088 OXD852088 PGZ852088 PQV852088 QAR852088 QKN852088 QUJ852088 REF852088 ROB852088 RXX852088 SHT852088 SRP852088 TBL852088 TLH852088 TVD852088 UEZ852088 UOV852088 UYR852088 VIN852088 VSJ852088 WCF852088 WMB852088 WVX852088 P917624 JL917624 TH917624 ADD917624 AMZ917624 AWV917624 BGR917624 BQN917624 CAJ917624 CKF917624 CUB917624 DDX917624 DNT917624 DXP917624 EHL917624 ERH917624 FBD917624 FKZ917624 FUV917624 GER917624 GON917624 GYJ917624 HIF917624 HSB917624 IBX917624 ILT917624 IVP917624 JFL917624 JPH917624 JZD917624 KIZ917624 KSV917624 LCR917624 LMN917624 LWJ917624 MGF917624 MQB917624 MZX917624 NJT917624 NTP917624 ODL917624 ONH917624 OXD917624 PGZ917624 PQV917624 QAR917624 QKN917624 QUJ917624 REF917624 ROB917624 RXX917624 SHT917624 SRP917624 TBL917624 TLH917624 TVD917624 UEZ917624 UOV917624 UYR917624 VIN917624 VSJ917624 WCF917624 WMB917624 WVX917624 P983160 JL983160 TH983160 ADD983160 AMZ983160 AWV983160 BGR983160 BQN983160 CAJ983160 CKF983160 CUB983160 DDX983160 DNT983160 DXP983160 EHL983160 ERH983160 FBD983160 FKZ983160 FUV983160 GER983160 GON983160 GYJ983160 HIF983160 HSB983160 IBX983160 ILT983160 IVP983160 JFL983160 JPH983160 JZD983160 KIZ983160 KSV983160 LCR983160 LMN983160 LWJ983160 MGF983160 MQB983160 MZX983160 NJT983160 NTP983160 ODL983160 ONH983160 OXD983160 PGZ983160 PQV983160 QAR983160 QKN983160 QUJ983160 REF983160 ROB983160 RXX983160 SHT983160 SRP983160 TBL983160 TLH983160 TVD983160 UEZ983160 UOV983160 UYR983160 VIN983160 VSJ983160 WCF983160 WMB983160 WVX983160 BQU105:BQU107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CAQ105:CAQ107 JH120 TD120 ACZ120 AMV120 AWR120 BGN120 BQJ120 CAF120 CKB120 CTX120 DDT120 DNP120 DXL120 EHH120 ERD120 FAZ120 FKV120 FUR120 GEN120 GOJ120 GYF120 HIB120 HRX120 IBT120 ILP120 IVL120 JFH120 JPD120 JYZ120 KIV120 KSR120 LCN120 LMJ120 LWF120 MGB120 MPX120 MZT120 NJP120 NTL120 ODH120 OND120 OWZ120 PGV120 PQR120 QAN120 QKJ120 QUF120 REB120 RNX120 RXT120 SHP120 SRL120 TBH120 TLD120 TUZ120 UEV120 UOR120 UYN120 VIJ120 VSF120 WCB120 WLX120 WVT120 L65656 JH65656 TD65656 ACZ65656 AMV65656 AWR65656 BGN65656 BQJ65656 CAF65656 CKB65656 CTX65656 DDT65656 DNP65656 DXL65656 EHH65656 ERD65656 FAZ65656 FKV65656 FUR65656 GEN65656 GOJ65656 GYF65656 HIB65656 HRX65656 IBT65656 ILP65656 IVL65656 JFH65656 JPD65656 JYZ65656 KIV65656 KSR65656 LCN65656 LMJ65656 LWF65656 MGB65656 MPX65656 MZT65656 NJP65656 NTL65656 ODH65656 OND65656 OWZ65656 PGV65656 PQR65656 QAN65656 QKJ65656 QUF65656 REB65656 RNX65656 RXT65656 SHP65656 SRL65656 TBH65656 TLD65656 TUZ65656 UEV65656 UOR65656 UYN65656 VIJ65656 VSF65656 WCB65656 WLX65656 WVT65656 L131192 JH131192 TD131192 ACZ131192 AMV131192 AWR131192 BGN131192 BQJ131192 CAF131192 CKB131192 CTX131192 DDT131192 DNP131192 DXL131192 EHH131192 ERD131192 FAZ131192 FKV131192 FUR131192 GEN131192 GOJ131192 GYF131192 HIB131192 HRX131192 IBT131192 ILP131192 IVL131192 JFH131192 JPD131192 JYZ131192 KIV131192 KSR131192 LCN131192 LMJ131192 LWF131192 MGB131192 MPX131192 MZT131192 NJP131192 NTL131192 ODH131192 OND131192 OWZ131192 PGV131192 PQR131192 QAN131192 QKJ131192 QUF131192 REB131192 RNX131192 RXT131192 SHP131192 SRL131192 TBH131192 TLD131192 TUZ131192 UEV131192 UOR131192 UYN131192 VIJ131192 VSF131192 WCB131192 WLX131192 WVT131192 L196728 JH196728 TD196728 ACZ196728 AMV196728 AWR196728 BGN196728 BQJ196728 CAF196728 CKB196728 CTX196728 DDT196728 DNP196728 DXL196728 EHH196728 ERD196728 FAZ196728 FKV196728 FUR196728 GEN196728 GOJ196728 GYF196728 HIB196728 HRX196728 IBT196728 ILP196728 IVL196728 JFH196728 JPD196728 JYZ196728 KIV196728 KSR196728 LCN196728 LMJ196728 LWF196728 MGB196728 MPX196728 MZT196728 NJP196728 NTL196728 ODH196728 OND196728 OWZ196728 PGV196728 PQR196728 QAN196728 QKJ196728 QUF196728 REB196728 RNX196728 RXT196728 SHP196728 SRL196728 TBH196728 TLD196728 TUZ196728 UEV196728 UOR196728 UYN196728 VIJ196728 VSF196728 WCB196728 WLX196728 WVT196728 L262264 JH262264 TD262264 ACZ262264 AMV262264 AWR262264 BGN262264 BQJ262264 CAF262264 CKB262264 CTX262264 DDT262264 DNP262264 DXL262264 EHH262264 ERD262264 FAZ262264 FKV262264 FUR262264 GEN262264 GOJ262264 GYF262264 HIB262264 HRX262264 IBT262264 ILP262264 IVL262264 JFH262264 JPD262264 JYZ262264 KIV262264 KSR262264 LCN262264 LMJ262264 LWF262264 MGB262264 MPX262264 MZT262264 NJP262264 NTL262264 ODH262264 OND262264 OWZ262264 PGV262264 PQR262264 QAN262264 QKJ262264 QUF262264 REB262264 RNX262264 RXT262264 SHP262264 SRL262264 TBH262264 TLD262264 TUZ262264 UEV262264 UOR262264 UYN262264 VIJ262264 VSF262264 WCB262264 WLX262264 WVT262264 L327800 JH327800 TD327800 ACZ327800 AMV327800 AWR327800 BGN327800 BQJ327800 CAF327800 CKB327800 CTX327800 DDT327800 DNP327800 DXL327800 EHH327800 ERD327800 FAZ327800 FKV327800 FUR327800 GEN327800 GOJ327800 GYF327800 HIB327800 HRX327800 IBT327800 ILP327800 IVL327800 JFH327800 JPD327800 JYZ327800 KIV327800 KSR327800 LCN327800 LMJ327800 LWF327800 MGB327800 MPX327800 MZT327800 NJP327800 NTL327800 ODH327800 OND327800 OWZ327800 PGV327800 PQR327800 QAN327800 QKJ327800 QUF327800 REB327800 RNX327800 RXT327800 SHP327800 SRL327800 TBH327800 TLD327800 TUZ327800 UEV327800 UOR327800 UYN327800 VIJ327800 VSF327800 WCB327800 WLX327800 WVT327800 L393336 JH393336 TD393336 ACZ393336 AMV393336 AWR393336 BGN393336 BQJ393336 CAF393336 CKB393336 CTX393336 DDT393336 DNP393336 DXL393336 EHH393336 ERD393336 FAZ393336 FKV393336 FUR393336 GEN393336 GOJ393336 GYF393336 HIB393336 HRX393336 IBT393336 ILP393336 IVL393336 JFH393336 JPD393336 JYZ393336 KIV393336 KSR393336 LCN393336 LMJ393336 LWF393336 MGB393336 MPX393336 MZT393336 NJP393336 NTL393336 ODH393336 OND393336 OWZ393336 PGV393336 PQR393336 QAN393336 QKJ393336 QUF393336 REB393336 RNX393336 RXT393336 SHP393336 SRL393336 TBH393336 TLD393336 TUZ393336 UEV393336 UOR393336 UYN393336 VIJ393336 VSF393336 WCB393336 WLX393336 WVT393336 L458872 JH458872 TD458872 ACZ458872 AMV458872 AWR458872 BGN458872 BQJ458872 CAF458872 CKB458872 CTX458872 DDT458872 DNP458872 DXL458872 EHH458872 ERD458872 FAZ458872 FKV458872 FUR458872 GEN458872 GOJ458872 GYF458872 HIB458872 HRX458872 IBT458872 ILP458872 IVL458872 JFH458872 JPD458872 JYZ458872 KIV458872 KSR458872 LCN458872 LMJ458872 LWF458872 MGB458872 MPX458872 MZT458872 NJP458872 NTL458872 ODH458872 OND458872 OWZ458872 PGV458872 PQR458872 QAN458872 QKJ458872 QUF458872 REB458872 RNX458872 RXT458872 SHP458872 SRL458872 TBH458872 TLD458872 TUZ458872 UEV458872 UOR458872 UYN458872 VIJ458872 VSF458872 WCB458872 WLX458872 WVT458872 L524408 JH524408 TD524408 ACZ524408 AMV524408 AWR524408 BGN524408 BQJ524408 CAF524408 CKB524408 CTX524408 DDT524408 DNP524408 DXL524408 EHH524408 ERD524408 FAZ524408 FKV524408 FUR524408 GEN524408 GOJ524408 GYF524408 HIB524408 HRX524408 IBT524408 ILP524408 IVL524408 JFH524408 JPD524408 JYZ524408 KIV524408 KSR524408 LCN524408 LMJ524408 LWF524408 MGB524408 MPX524408 MZT524408 NJP524408 NTL524408 ODH524408 OND524408 OWZ524408 PGV524408 PQR524408 QAN524408 QKJ524408 QUF524408 REB524408 RNX524408 RXT524408 SHP524408 SRL524408 TBH524408 TLD524408 TUZ524408 UEV524408 UOR524408 UYN524408 VIJ524408 VSF524408 WCB524408 WLX524408 WVT524408 L589944 JH589944 TD589944 ACZ589944 AMV589944 AWR589944 BGN589944 BQJ589944 CAF589944 CKB589944 CTX589944 DDT589944 DNP589944 DXL589944 EHH589944 ERD589944 FAZ589944 FKV589944 FUR589944 GEN589944 GOJ589944 GYF589944 HIB589944 HRX589944 IBT589944 ILP589944 IVL589944 JFH589944 JPD589944 JYZ589944 KIV589944 KSR589944 LCN589944 LMJ589944 LWF589944 MGB589944 MPX589944 MZT589944 NJP589944 NTL589944 ODH589944 OND589944 OWZ589944 PGV589944 PQR589944 QAN589944 QKJ589944 QUF589944 REB589944 RNX589944 RXT589944 SHP589944 SRL589944 TBH589944 TLD589944 TUZ589944 UEV589944 UOR589944 UYN589944 VIJ589944 VSF589944 WCB589944 WLX589944 WVT589944 L655480 JH655480 TD655480 ACZ655480 AMV655480 AWR655480 BGN655480 BQJ655480 CAF655480 CKB655480 CTX655480 DDT655480 DNP655480 DXL655480 EHH655480 ERD655480 FAZ655480 FKV655480 FUR655480 GEN655480 GOJ655480 GYF655480 HIB655480 HRX655480 IBT655480 ILP655480 IVL655480 JFH655480 JPD655480 JYZ655480 KIV655480 KSR655480 LCN655480 LMJ655480 LWF655480 MGB655480 MPX655480 MZT655480 NJP655480 NTL655480 ODH655480 OND655480 OWZ655480 PGV655480 PQR655480 QAN655480 QKJ655480 QUF655480 REB655480 RNX655480 RXT655480 SHP655480 SRL655480 TBH655480 TLD655480 TUZ655480 UEV655480 UOR655480 UYN655480 VIJ655480 VSF655480 WCB655480 WLX655480 WVT655480 L721016 JH721016 TD721016 ACZ721016 AMV721016 AWR721016 BGN721016 BQJ721016 CAF721016 CKB721016 CTX721016 DDT721016 DNP721016 DXL721016 EHH721016 ERD721016 FAZ721016 FKV721016 FUR721016 GEN721016 GOJ721016 GYF721016 HIB721016 HRX721016 IBT721016 ILP721016 IVL721016 JFH721016 JPD721016 JYZ721016 KIV721016 KSR721016 LCN721016 LMJ721016 LWF721016 MGB721016 MPX721016 MZT721016 NJP721016 NTL721016 ODH721016 OND721016 OWZ721016 PGV721016 PQR721016 QAN721016 QKJ721016 QUF721016 REB721016 RNX721016 RXT721016 SHP721016 SRL721016 TBH721016 TLD721016 TUZ721016 UEV721016 UOR721016 UYN721016 VIJ721016 VSF721016 WCB721016 WLX721016 WVT721016 L786552 JH786552 TD786552 ACZ786552 AMV786552 AWR786552 BGN786552 BQJ786552 CAF786552 CKB786552 CTX786552 DDT786552 DNP786552 DXL786552 EHH786552 ERD786552 FAZ786552 FKV786552 FUR786552 GEN786552 GOJ786552 GYF786552 HIB786552 HRX786552 IBT786552 ILP786552 IVL786552 JFH786552 JPD786552 JYZ786552 KIV786552 KSR786552 LCN786552 LMJ786552 LWF786552 MGB786552 MPX786552 MZT786552 NJP786552 NTL786552 ODH786552 OND786552 OWZ786552 PGV786552 PQR786552 QAN786552 QKJ786552 QUF786552 REB786552 RNX786552 RXT786552 SHP786552 SRL786552 TBH786552 TLD786552 TUZ786552 UEV786552 UOR786552 UYN786552 VIJ786552 VSF786552 WCB786552 WLX786552 WVT786552 L852088 JH852088 TD852088 ACZ852088 AMV852088 AWR852088 BGN852088 BQJ852088 CAF852088 CKB852088 CTX852088 DDT852088 DNP852088 DXL852088 EHH852088 ERD852088 FAZ852088 FKV852088 FUR852088 GEN852088 GOJ852088 GYF852088 HIB852088 HRX852088 IBT852088 ILP852088 IVL852088 JFH852088 JPD852088 JYZ852088 KIV852088 KSR852088 LCN852088 LMJ852088 LWF852088 MGB852088 MPX852088 MZT852088 NJP852088 NTL852088 ODH852088 OND852088 OWZ852088 PGV852088 PQR852088 QAN852088 QKJ852088 QUF852088 REB852088 RNX852088 RXT852088 SHP852088 SRL852088 TBH852088 TLD852088 TUZ852088 UEV852088 UOR852088 UYN852088 VIJ852088 VSF852088 WCB852088 WLX852088 WVT852088 L917624 JH917624 TD917624 ACZ917624 AMV917624 AWR917624 BGN917624 BQJ917624 CAF917624 CKB917624 CTX917624 DDT917624 DNP917624 DXL917624 EHH917624 ERD917624 FAZ917624 FKV917624 FUR917624 GEN917624 GOJ917624 GYF917624 HIB917624 HRX917624 IBT917624 ILP917624 IVL917624 JFH917624 JPD917624 JYZ917624 KIV917624 KSR917624 LCN917624 LMJ917624 LWF917624 MGB917624 MPX917624 MZT917624 NJP917624 NTL917624 ODH917624 OND917624 OWZ917624 PGV917624 PQR917624 QAN917624 QKJ917624 QUF917624 REB917624 RNX917624 RXT917624 SHP917624 SRL917624 TBH917624 TLD917624 TUZ917624 UEV917624 UOR917624 UYN917624 VIJ917624 VSF917624 WCB917624 WLX917624 WVT917624 L983160 JH983160 TD983160 ACZ983160 AMV983160 AWR983160 BGN983160 BQJ983160 CAF983160 CKB983160 CTX983160 DDT983160 DNP983160 DXL983160 EHH983160 ERD983160 FAZ983160 FKV983160 FUR983160 GEN983160 GOJ983160 GYF983160 HIB983160 HRX983160 IBT983160 ILP983160 IVL983160 JFH983160 JPD983160 JYZ983160 KIV983160 KSR983160 LCN983160 LMJ983160 LWF983160 MGB983160 MPX983160 MZT983160 NJP983160 NTL983160 ODH983160 OND983160 OWZ983160 PGV983160 PQR983160 QAN983160 QKJ983160 QUF983160 REB983160 RNX983160 RXT983160 SHP983160 SRL983160 TBH983160 TLD983160 TUZ983160 UEV983160 UOR983160 UYN983160 VIJ983160 VSF983160 WCB983160 WLX983160 WVT983160 TBC983143 JB62:JB64 SX62:SX64 ACT62:ACT64 AMP62:AMP64 AWL62:AWL64 BGH62:BGH64 BQD62:BQD64 BZZ62:BZZ64 CJV62:CJV64 CTR62:CTR64 DDN62:DDN64 DNJ62:DNJ64 DXF62:DXF64 EHB62:EHB64 EQX62:EQX64 FAT62:FAT64 FKP62:FKP64 FUL62:FUL64 GEH62:GEH64 GOD62:GOD64 GXZ62:GXZ64 HHV62:HHV64 HRR62:HRR64 IBN62:IBN64 ILJ62:ILJ64 IVF62:IVF64 JFB62:JFB64 JOX62:JOX64 JYT62:JYT64 KIP62:KIP64 KSL62:KSL64 LCH62:LCH64 LMD62:LMD64 LVZ62:LVZ64 MFV62:MFV64 MPR62:MPR64 MZN62:MZN64 NJJ62:NJJ64 NTF62:NTF64 ODB62:ODB64 OMX62:OMX64 OWT62:OWT64 PGP62:PGP64 PQL62:PQL64 QAH62:QAH64 QKD62:QKD64 QTZ62:QTZ64 RDV62:RDV64 RNR62:RNR64 RXN62:RXN64 SHJ62:SHJ64 SRF62:SRF64 TBB62:TBB64 TKX62:TKX64 TUT62:TUT64 UEP62:UEP64 UOL62:UOL64 UYH62:UYH64 VID62:VID64 VRZ62:VRZ64 WBV62:WBV64 WLR62:WLR64 WVN62:WVN64 F65601:F65603 JB65601:JB65603 SX65601:SX65603 ACT65601:ACT65603 AMP65601:AMP65603 AWL65601:AWL65603 BGH65601:BGH65603 BQD65601:BQD65603 BZZ65601:BZZ65603 CJV65601:CJV65603 CTR65601:CTR65603 DDN65601:DDN65603 DNJ65601:DNJ65603 DXF65601:DXF65603 EHB65601:EHB65603 EQX65601:EQX65603 FAT65601:FAT65603 FKP65601:FKP65603 FUL65601:FUL65603 GEH65601:GEH65603 GOD65601:GOD65603 GXZ65601:GXZ65603 HHV65601:HHV65603 HRR65601:HRR65603 IBN65601:IBN65603 ILJ65601:ILJ65603 IVF65601:IVF65603 JFB65601:JFB65603 JOX65601:JOX65603 JYT65601:JYT65603 KIP65601:KIP65603 KSL65601:KSL65603 LCH65601:LCH65603 LMD65601:LMD65603 LVZ65601:LVZ65603 MFV65601:MFV65603 MPR65601:MPR65603 MZN65601:MZN65603 NJJ65601:NJJ65603 NTF65601:NTF65603 ODB65601:ODB65603 OMX65601:OMX65603 OWT65601:OWT65603 PGP65601:PGP65603 PQL65601:PQL65603 QAH65601:QAH65603 QKD65601:QKD65603 QTZ65601:QTZ65603 RDV65601:RDV65603 RNR65601:RNR65603 RXN65601:RXN65603 SHJ65601:SHJ65603 SRF65601:SRF65603 TBB65601:TBB65603 TKX65601:TKX65603 TUT65601:TUT65603 UEP65601:UEP65603 UOL65601:UOL65603 UYH65601:UYH65603 VID65601:VID65603 VRZ65601:VRZ65603 WBV65601:WBV65603 WLR65601:WLR65603 WVN65601:WVN65603 F131137:F131139 JB131137:JB131139 SX131137:SX131139 ACT131137:ACT131139 AMP131137:AMP131139 AWL131137:AWL131139 BGH131137:BGH131139 BQD131137:BQD131139 BZZ131137:BZZ131139 CJV131137:CJV131139 CTR131137:CTR131139 DDN131137:DDN131139 DNJ131137:DNJ131139 DXF131137:DXF131139 EHB131137:EHB131139 EQX131137:EQX131139 FAT131137:FAT131139 FKP131137:FKP131139 FUL131137:FUL131139 GEH131137:GEH131139 GOD131137:GOD131139 GXZ131137:GXZ131139 HHV131137:HHV131139 HRR131137:HRR131139 IBN131137:IBN131139 ILJ131137:ILJ131139 IVF131137:IVF131139 JFB131137:JFB131139 JOX131137:JOX131139 JYT131137:JYT131139 KIP131137:KIP131139 KSL131137:KSL131139 LCH131137:LCH131139 LMD131137:LMD131139 LVZ131137:LVZ131139 MFV131137:MFV131139 MPR131137:MPR131139 MZN131137:MZN131139 NJJ131137:NJJ131139 NTF131137:NTF131139 ODB131137:ODB131139 OMX131137:OMX131139 OWT131137:OWT131139 PGP131137:PGP131139 PQL131137:PQL131139 QAH131137:QAH131139 QKD131137:QKD131139 QTZ131137:QTZ131139 RDV131137:RDV131139 RNR131137:RNR131139 RXN131137:RXN131139 SHJ131137:SHJ131139 SRF131137:SRF131139 TBB131137:TBB131139 TKX131137:TKX131139 TUT131137:TUT131139 UEP131137:UEP131139 UOL131137:UOL131139 UYH131137:UYH131139 VID131137:VID131139 VRZ131137:VRZ131139 WBV131137:WBV131139 WLR131137:WLR131139 WVN131137:WVN131139 F196673:F196675 JB196673:JB196675 SX196673:SX196675 ACT196673:ACT196675 AMP196673:AMP196675 AWL196673:AWL196675 BGH196673:BGH196675 BQD196673:BQD196675 BZZ196673:BZZ196675 CJV196673:CJV196675 CTR196673:CTR196675 DDN196673:DDN196675 DNJ196673:DNJ196675 DXF196673:DXF196675 EHB196673:EHB196675 EQX196673:EQX196675 FAT196673:FAT196675 FKP196673:FKP196675 FUL196673:FUL196675 GEH196673:GEH196675 GOD196673:GOD196675 GXZ196673:GXZ196675 HHV196673:HHV196675 HRR196673:HRR196675 IBN196673:IBN196675 ILJ196673:ILJ196675 IVF196673:IVF196675 JFB196673:JFB196675 JOX196673:JOX196675 JYT196673:JYT196675 KIP196673:KIP196675 KSL196673:KSL196675 LCH196673:LCH196675 LMD196673:LMD196675 LVZ196673:LVZ196675 MFV196673:MFV196675 MPR196673:MPR196675 MZN196673:MZN196675 NJJ196673:NJJ196675 NTF196673:NTF196675 ODB196673:ODB196675 OMX196673:OMX196675 OWT196673:OWT196675 PGP196673:PGP196675 PQL196673:PQL196675 QAH196673:QAH196675 QKD196673:QKD196675 QTZ196673:QTZ196675 RDV196673:RDV196675 RNR196673:RNR196675 RXN196673:RXN196675 SHJ196673:SHJ196675 SRF196673:SRF196675 TBB196673:TBB196675 TKX196673:TKX196675 TUT196673:TUT196675 UEP196673:UEP196675 UOL196673:UOL196675 UYH196673:UYH196675 VID196673:VID196675 VRZ196673:VRZ196675 WBV196673:WBV196675 WLR196673:WLR196675 WVN196673:WVN196675 F262209:F262211 JB262209:JB262211 SX262209:SX262211 ACT262209:ACT262211 AMP262209:AMP262211 AWL262209:AWL262211 BGH262209:BGH262211 BQD262209:BQD262211 BZZ262209:BZZ262211 CJV262209:CJV262211 CTR262209:CTR262211 DDN262209:DDN262211 DNJ262209:DNJ262211 DXF262209:DXF262211 EHB262209:EHB262211 EQX262209:EQX262211 FAT262209:FAT262211 FKP262209:FKP262211 FUL262209:FUL262211 GEH262209:GEH262211 GOD262209:GOD262211 GXZ262209:GXZ262211 HHV262209:HHV262211 HRR262209:HRR262211 IBN262209:IBN262211 ILJ262209:ILJ262211 IVF262209:IVF262211 JFB262209:JFB262211 JOX262209:JOX262211 JYT262209:JYT262211 KIP262209:KIP262211 KSL262209:KSL262211 LCH262209:LCH262211 LMD262209:LMD262211 LVZ262209:LVZ262211 MFV262209:MFV262211 MPR262209:MPR262211 MZN262209:MZN262211 NJJ262209:NJJ262211 NTF262209:NTF262211 ODB262209:ODB262211 OMX262209:OMX262211 OWT262209:OWT262211 PGP262209:PGP262211 PQL262209:PQL262211 QAH262209:QAH262211 QKD262209:QKD262211 QTZ262209:QTZ262211 RDV262209:RDV262211 RNR262209:RNR262211 RXN262209:RXN262211 SHJ262209:SHJ262211 SRF262209:SRF262211 TBB262209:TBB262211 TKX262209:TKX262211 TUT262209:TUT262211 UEP262209:UEP262211 UOL262209:UOL262211 UYH262209:UYH262211 VID262209:VID262211 VRZ262209:VRZ262211 WBV262209:WBV262211 WLR262209:WLR262211 WVN262209:WVN262211 F327745:F327747 JB327745:JB327747 SX327745:SX327747 ACT327745:ACT327747 AMP327745:AMP327747 AWL327745:AWL327747 BGH327745:BGH327747 BQD327745:BQD327747 BZZ327745:BZZ327747 CJV327745:CJV327747 CTR327745:CTR327747 DDN327745:DDN327747 DNJ327745:DNJ327747 DXF327745:DXF327747 EHB327745:EHB327747 EQX327745:EQX327747 FAT327745:FAT327747 FKP327745:FKP327747 FUL327745:FUL327747 GEH327745:GEH327747 GOD327745:GOD327747 GXZ327745:GXZ327747 HHV327745:HHV327747 HRR327745:HRR327747 IBN327745:IBN327747 ILJ327745:ILJ327747 IVF327745:IVF327747 JFB327745:JFB327747 JOX327745:JOX327747 JYT327745:JYT327747 KIP327745:KIP327747 KSL327745:KSL327747 LCH327745:LCH327747 LMD327745:LMD327747 LVZ327745:LVZ327747 MFV327745:MFV327747 MPR327745:MPR327747 MZN327745:MZN327747 NJJ327745:NJJ327747 NTF327745:NTF327747 ODB327745:ODB327747 OMX327745:OMX327747 OWT327745:OWT327747 PGP327745:PGP327747 PQL327745:PQL327747 QAH327745:QAH327747 QKD327745:QKD327747 QTZ327745:QTZ327747 RDV327745:RDV327747 RNR327745:RNR327747 RXN327745:RXN327747 SHJ327745:SHJ327747 SRF327745:SRF327747 TBB327745:TBB327747 TKX327745:TKX327747 TUT327745:TUT327747 UEP327745:UEP327747 UOL327745:UOL327747 UYH327745:UYH327747 VID327745:VID327747 VRZ327745:VRZ327747 WBV327745:WBV327747 WLR327745:WLR327747 WVN327745:WVN327747 F393281:F393283 JB393281:JB393283 SX393281:SX393283 ACT393281:ACT393283 AMP393281:AMP393283 AWL393281:AWL393283 BGH393281:BGH393283 BQD393281:BQD393283 BZZ393281:BZZ393283 CJV393281:CJV393283 CTR393281:CTR393283 DDN393281:DDN393283 DNJ393281:DNJ393283 DXF393281:DXF393283 EHB393281:EHB393283 EQX393281:EQX393283 FAT393281:FAT393283 FKP393281:FKP393283 FUL393281:FUL393283 GEH393281:GEH393283 GOD393281:GOD393283 GXZ393281:GXZ393283 HHV393281:HHV393283 HRR393281:HRR393283 IBN393281:IBN393283 ILJ393281:ILJ393283 IVF393281:IVF393283 JFB393281:JFB393283 JOX393281:JOX393283 JYT393281:JYT393283 KIP393281:KIP393283 KSL393281:KSL393283 LCH393281:LCH393283 LMD393281:LMD393283 LVZ393281:LVZ393283 MFV393281:MFV393283 MPR393281:MPR393283 MZN393281:MZN393283 NJJ393281:NJJ393283 NTF393281:NTF393283 ODB393281:ODB393283 OMX393281:OMX393283 OWT393281:OWT393283 PGP393281:PGP393283 PQL393281:PQL393283 QAH393281:QAH393283 QKD393281:QKD393283 QTZ393281:QTZ393283 RDV393281:RDV393283 RNR393281:RNR393283 RXN393281:RXN393283 SHJ393281:SHJ393283 SRF393281:SRF393283 TBB393281:TBB393283 TKX393281:TKX393283 TUT393281:TUT393283 UEP393281:UEP393283 UOL393281:UOL393283 UYH393281:UYH393283 VID393281:VID393283 VRZ393281:VRZ393283 WBV393281:WBV393283 WLR393281:WLR393283 WVN393281:WVN393283 F458817:F458819 JB458817:JB458819 SX458817:SX458819 ACT458817:ACT458819 AMP458817:AMP458819 AWL458817:AWL458819 BGH458817:BGH458819 BQD458817:BQD458819 BZZ458817:BZZ458819 CJV458817:CJV458819 CTR458817:CTR458819 DDN458817:DDN458819 DNJ458817:DNJ458819 DXF458817:DXF458819 EHB458817:EHB458819 EQX458817:EQX458819 FAT458817:FAT458819 FKP458817:FKP458819 FUL458817:FUL458819 GEH458817:GEH458819 GOD458817:GOD458819 GXZ458817:GXZ458819 HHV458817:HHV458819 HRR458817:HRR458819 IBN458817:IBN458819 ILJ458817:ILJ458819 IVF458817:IVF458819 JFB458817:JFB458819 JOX458817:JOX458819 JYT458817:JYT458819 KIP458817:KIP458819 KSL458817:KSL458819 LCH458817:LCH458819 LMD458817:LMD458819 LVZ458817:LVZ458819 MFV458817:MFV458819 MPR458817:MPR458819 MZN458817:MZN458819 NJJ458817:NJJ458819 NTF458817:NTF458819 ODB458817:ODB458819 OMX458817:OMX458819 OWT458817:OWT458819 PGP458817:PGP458819 PQL458817:PQL458819 QAH458817:QAH458819 QKD458817:QKD458819 QTZ458817:QTZ458819 RDV458817:RDV458819 RNR458817:RNR458819 RXN458817:RXN458819 SHJ458817:SHJ458819 SRF458817:SRF458819 TBB458817:TBB458819 TKX458817:TKX458819 TUT458817:TUT458819 UEP458817:UEP458819 UOL458817:UOL458819 UYH458817:UYH458819 VID458817:VID458819 VRZ458817:VRZ458819 WBV458817:WBV458819 WLR458817:WLR458819 WVN458817:WVN458819 F524353:F524355 JB524353:JB524355 SX524353:SX524355 ACT524353:ACT524355 AMP524353:AMP524355 AWL524353:AWL524355 BGH524353:BGH524355 BQD524353:BQD524355 BZZ524353:BZZ524355 CJV524353:CJV524355 CTR524353:CTR524355 DDN524353:DDN524355 DNJ524353:DNJ524355 DXF524353:DXF524355 EHB524353:EHB524355 EQX524353:EQX524355 FAT524353:FAT524355 FKP524353:FKP524355 FUL524353:FUL524355 GEH524353:GEH524355 GOD524353:GOD524355 GXZ524353:GXZ524355 HHV524353:HHV524355 HRR524353:HRR524355 IBN524353:IBN524355 ILJ524353:ILJ524355 IVF524353:IVF524355 JFB524353:JFB524355 JOX524353:JOX524355 JYT524353:JYT524355 KIP524353:KIP524355 KSL524353:KSL524355 LCH524353:LCH524355 LMD524353:LMD524355 LVZ524353:LVZ524355 MFV524353:MFV524355 MPR524353:MPR524355 MZN524353:MZN524355 NJJ524353:NJJ524355 NTF524353:NTF524355 ODB524353:ODB524355 OMX524353:OMX524355 OWT524353:OWT524355 PGP524353:PGP524355 PQL524353:PQL524355 QAH524353:QAH524355 QKD524353:QKD524355 QTZ524353:QTZ524355 RDV524353:RDV524355 RNR524353:RNR524355 RXN524353:RXN524355 SHJ524353:SHJ524355 SRF524353:SRF524355 TBB524353:TBB524355 TKX524353:TKX524355 TUT524353:TUT524355 UEP524353:UEP524355 UOL524353:UOL524355 UYH524353:UYH524355 VID524353:VID524355 VRZ524353:VRZ524355 WBV524353:WBV524355 WLR524353:WLR524355 WVN524353:WVN524355 F589889:F589891 JB589889:JB589891 SX589889:SX589891 ACT589889:ACT589891 AMP589889:AMP589891 AWL589889:AWL589891 BGH589889:BGH589891 BQD589889:BQD589891 BZZ589889:BZZ589891 CJV589889:CJV589891 CTR589889:CTR589891 DDN589889:DDN589891 DNJ589889:DNJ589891 DXF589889:DXF589891 EHB589889:EHB589891 EQX589889:EQX589891 FAT589889:FAT589891 FKP589889:FKP589891 FUL589889:FUL589891 GEH589889:GEH589891 GOD589889:GOD589891 GXZ589889:GXZ589891 HHV589889:HHV589891 HRR589889:HRR589891 IBN589889:IBN589891 ILJ589889:ILJ589891 IVF589889:IVF589891 JFB589889:JFB589891 JOX589889:JOX589891 JYT589889:JYT589891 KIP589889:KIP589891 KSL589889:KSL589891 LCH589889:LCH589891 LMD589889:LMD589891 LVZ589889:LVZ589891 MFV589889:MFV589891 MPR589889:MPR589891 MZN589889:MZN589891 NJJ589889:NJJ589891 NTF589889:NTF589891 ODB589889:ODB589891 OMX589889:OMX589891 OWT589889:OWT589891 PGP589889:PGP589891 PQL589889:PQL589891 QAH589889:QAH589891 QKD589889:QKD589891 QTZ589889:QTZ589891 RDV589889:RDV589891 RNR589889:RNR589891 RXN589889:RXN589891 SHJ589889:SHJ589891 SRF589889:SRF589891 TBB589889:TBB589891 TKX589889:TKX589891 TUT589889:TUT589891 UEP589889:UEP589891 UOL589889:UOL589891 UYH589889:UYH589891 VID589889:VID589891 VRZ589889:VRZ589891 WBV589889:WBV589891 WLR589889:WLR589891 WVN589889:WVN589891 F655425:F655427 JB655425:JB655427 SX655425:SX655427 ACT655425:ACT655427 AMP655425:AMP655427 AWL655425:AWL655427 BGH655425:BGH655427 BQD655425:BQD655427 BZZ655425:BZZ655427 CJV655425:CJV655427 CTR655425:CTR655427 DDN655425:DDN655427 DNJ655425:DNJ655427 DXF655425:DXF655427 EHB655425:EHB655427 EQX655425:EQX655427 FAT655425:FAT655427 FKP655425:FKP655427 FUL655425:FUL655427 GEH655425:GEH655427 GOD655425:GOD655427 GXZ655425:GXZ655427 HHV655425:HHV655427 HRR655425:HRR655427 IBN655425:IBN655427 ILJ655425:ILJ655427 IVF655425:IVF655427 JFB655425:JFB655427 JOX655425:JOX655427 JYT655425:JYT655427 KIP655425:KIP655427 KSL655425:KSL655427 LCH655425:LCH655427 LMD655425:LMD655427 LVZ655425:LVZ655427 MFV655425:MFV655427 MPR655425:MPR655427 MZN655425:MZN655427 NJJ655425:NJJ655427 NTF655425:NTF655427 ODB655425:ODB655427 OMX655425:OMX655427 OWT655425:OWT655427 PGP655425:PGP655427 PQL655425:PQL655427 QAH655425:QAH655427 QKD655425:QKD655427 QTZ655425:QTZ655427 RDV655425:RDV655427 RNR655425:RNR655427 RXN655425:RXN655427 SHJ655425:SHJ655427 SRF655425:SRF655427 TBB655425:TBB655427 TKX655425:TKX655427 TUT655425:TUT655427 UEP655425:UEP655427 UOL655425:UOL655427 UYH655425:UYH655427 VID655425:VID655427 VRZ655425:VRZ655427 WBV655425:WBV655427 WLR655425:WLR655427 WVN655425:WVN655427 F720961:F720963 JB720961:JB720963 SX720961:SX720963 ACT720961:ACT720963 AMP720961:AMP720963 AWL720961:AWL720963 BGH720961:BGH720963 BQD720961:BQD720963 BZZ720961:BZZ720963 CJV720961:CJV720963 CTR720961:CTR720963 DDN720961:DDN720963 DNJ720961:DNJ720963 DXF720961:DXF720963 EHB720961:EHB720963 EQX720961:EQX720963 FAT720961:FAT720963 FKP720961:FKP720963 FUL720961:FUL720963 GEH720961:GEH720963 GOD720961:GOD720963 GXZ720961:GXZ720963 HHV720961:HHV720963 HRR720961:HRR720963 IBN720961:IBN720963 ILJ720961:ILJ720963 IVF720961:IVF720963 JFB720961:JFB720963 JOX720961:JOX720963 JYT720961:JYT720963 KIP720961:KIP720963 KSL720961:KSL720963 LCH720961:LCH720963 LMD720961:LMD720963 LVZ720961:LVZ720963 MFV720961:MFV720963 MPR720961:MPR720963 MZN720961:MZN720963 NJJ720961:NJJ720963 NTF720961:NTF720963 ODB720961:ODB720963 OMX720961:OMX720963 OWT720961:OWT720963 PGP720961:PGP720963 PQL720961:PQL720963 QAH720961:QAH720963 QKD720961:QKD720963 QTZ720961:QTZ720963 RDV720961:RDV720963 RNR720961:RNR720963 RXN720961:RXN720963 SHJ720961:SHJ720963 SRF720961:SRF720963 TBB720961:TBB720963 TKX720961:TKX720963 TUT720961:TUT720963 UEP720961:UEP720963 UOL720961:UOL720963 UYH720961:UYH720963 VID720961:VID720963 VRZ720961:VRZ720963 WBV720961:WBV720963 WLR720961:WLR720963 WVN720961:WVN720963 F786497:F786499 JB786497:JB786499 SX786497:SX786499 ACT786497:ACT786499 AMP786497:AMP786499 AWL786497:AWL786499 BGH786497:BGH786499 BQD786497:BQD786499 BZZ786497:BZZ786499 CJV786497:CJV786499 CTR786497:CTR786499 DDN786497:DDN786499 DNJ786497:DNJ786499 DXF786497:DXF786499 EHB786497:EHB786499 EQX786497:EQX786499 FAT786497:FAT786499 FKP786497:FKP786499 FUL786497:FUL786499 GEH786497:GEH786499 GOD786497:GOD786499 GXZ786497:GXZ786499 HHV786497:HHV786499 HRR786497:HRR786499 IBN786497:IBN786499 ILJ786497:ILJ786499 IVF786497:IVF786499 JFB786497:JFB786499 JOX786497:JOX786499 JYT786497:JYT786499 KIP786497:KIP786499 KSL786497:KSL786499 LCH786497:LCH786499 LMD786497:LMD786499 LVZ786497:LVZ786499 MFV786497:MFV786499 MPR786497:MPR786499 MZN786497:MZN786499 NJJ786497:NJJ786499 NTF786497:NTF786499 ODB786497:ODB786499 OMX786497:OMX786499 OWT786497:OWT786499 PGP786497:PGP786499 PQL786497:PQL786499 QAH786497:QAH786499 QKD786497:QKD786499 QTZ786497:QTZ786499 RDV786497:RDV786499 RNR786497:RNR786499 RXN786497:RXN786499 SHJ786497:SHJ786499 SRF786497:SRF786499 TBB786497:TBB786499 TKX786497:TKX786499 TUT786497:TUT786499 UEP786497:UEP786499 UOL786497:UOL786499 UYH786497:UYH786499 VID786497:VID786499 VRZ786497:VRZ786499 WBV786497:WBV786499 WLR786497:WLR786499 WVN786497:WVN786499 F852033:F852035 JB852033:JB852035 SX852033:SX852035 ACT852033:ACT852035 AMP852033:AMP852035 AWL852033:AWL852035 BGH852033:BGH852035 BQD852033:BQD852035 BZZ852033:BZZ852035 CJV852033:CJV852035 CTR852033:CTR852035 DDN852033:DDN852035 DNJ852033:DNJ852035 DXF852033:DXF852035 EHB852033:EHB852035 EQX852033:EQX852035 FAT852033:FAT852035 FKP852033:FKP852035 FUL852033:FUL852035 GEH852033:GEH852035 GOD852033:GOD852035 GXZ852033:GXZ852035 HHV852033:HHV852035 HRR852033:HRR852035 IBN852033:IBN852035 ILJ852033:ILJ852035 IVF852033:IVF852035 JFB852033:JFB852035 JOX852033:JOX852035 JYT852033:JYT852035 KIP852033:KIP852035 KSL852033:KSL852035 LCH852033:LCH852035 LMD852033:LMD852035 LVZ852033:LVZ852035 MFV852033:MFV852035 MPR852033:MPR852035 MZN852033:MZN852035 NJJ852033:NJJ852035 NTF852033:NTF852035 ODB852033:ODB852035 OMX852033:OMX852035 OWT852033:OWT852035 PGP852033:PGP852035 PQL852033:PQL852035 QAH852033:QAH852035 QKD852033:QKD852035 QTZ852033:QTZ852035 RDV852033:RDV852035 RNR852033:RNR852035 RXN852033:RXN852035 SHJ852033:SHJ852035 SRF852033:SRF852035 TBB852033:TBB852035 TKX852033:TKX852035 TUT852033:TUT852035 UEP852033:UEP852035 UOL852033:UOL852035 UYH852033:UYH852035 VID852033:VID852035 VRZ852033:VRZ852035 WBV852033:WBV852035 WLR852033:WLR852035 WVN852033:WVN852035 F917569:F917571 JB917569:JB917571 SX917569:SX917571 ACT917569:ACT917571 AMP917569:AMP917571 AWL917569:AWL917571 BGH917569:BGH917571 BQD917569:BQD917571 BZZ917569:BZZ917571 CJV917569:CJV917571 CTR917569:CTR917571 DDN917569:DDN917571 DNJ917569:DNJ917571 DXF917569:DXF917571 EHB917569:EHB917571 EQX917569:EQX917571 FAT917569:FAT917571 FKP917569:FKP917571 FUL917569:FUL917571 GEH917569:GEH917571 GOD917569:GOD917571 GXZ917569:GXZ917571 HHV917569:HHV917571 HRR917569:HRR917571 IBN917569:IBN917571 ILJ917569:ILJ917571 IVF917569:IVF917571 JFB917569:JFB917571 JOX917569:JOX917571 JYT917569:JYT917571 KIP917569:KIP917571 KSL917569:KSL917571 LCH917569:LCH917571 LMD917569:LMD917571 LVZ917569:LVZ917571 MFV917569:MFV917571 MPR917569:MPR917571 MZN917569:MZN917571 NJJ917569:NJJ917571 NTF917569:NTF917571 ODB917569:ODB917571 OMX917569:OMX917571 OWT917569:OWT917571 PGP917569:PGP917571 PQL917569:PQL917571 QAH917569:QAH917571 QKD917569:QKD917571 QTZ917569:QTZ917571 RDV917569:RDV917571 RNR917569:RNR917571 RXN917569:RXN917571 SHJ917569:SHJ917571 SRF917569:SRF917571 TBB917569:TBB917571 TKX917569:TKX917571 TUT917569:TUT917571 UEP917569:UEP917571 UOL917569:UOL917571 UYH917569:UYH917571 VID917569:VID917571 VRZ917569:VRZ917571 WBV917569:WBV917571 WLR917569:WLR917571 WVN917569:WVN917571 F983105:F983107 JB983105:JB983107 SX983105:SX983107 ACT983105:ACT983107 AMP983105:AMP983107 AWL983105:AWL983107 BGH983105:BGH983107 BQD983105:BQD983107 BZZ983105:BZZ983107 CJV983105:CJV983107 CTR983105:CTR983107 DDN983105:DDN983107 DNJ983105:DNJ983107 DXF983105:DXF983107 EHB983105:EHB983107 EQX983105:EQX983107 FAT983105:FAT983107 FKP983105:FKP983107 FUL983105:FUL983107 GEH983105:GEH983107 GOD983105:GOD983107 GXZ983105:GXZ983107 HHV983105:HHV983107 HRR983105:HRR983107 IBN983105:IBN983107 ILJ983105:ILJ983107 IVF983105:IVF983107 JFB983105:JFB983107 JOX983105:JOX983107 JYT983105:JYT983107 KIP983105:KIP983107 KSL983105:KSL983107 LCH983105:LCH983107 LMD983105:LMD983107 LVZ983105:LVZ983107 MFV983105:MFV983107 MPR983105:MPR983107 MZN983105:MZN983107 NJJ983105:NJJ983107 NTF983105:NTF983107 ODB983105:ODB983107 OMX983105:OMX983107 OWT983105:OWT983107 PGP983105:PGP983107 PQL983105:PQL983107 QAH983105:QAH983107 QKD983105:QKD983107 QTZ983105:QTZ983107 RDV983105:RDV983107 RNR983105:RNR983107 RXN983105:RXN983107 SHJ983105:SHJ983107 SRF983105:SRF983107 TBB983105:TBB983107 TKX983105:TKX983107 TUT983105:TUT983107 UEP983105:UEP983107 UOL983105:UOL983107 UYH983105:UYH983107 VID983105:VID983107 VRZ983105:VRZ983107 WBV983105:WBV983107 WLR983105:WLR983107 WVN983105:WVN983107 DXO71:DXO77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M65635 JI65635 TE65635 ADA65635 AMW65635 AWS65635 BGO65635 BQK65635 CAG65635 CKC65635 CTY65635 DDU65635 DNQ65635 DXM65635 EHI65635 ERE65635 FBA65635 FKW65635 FUS65635 GEO65635 GOK65635 GYG65635 HIC65635 HRY65635 IBU65635 ILQ65635 IVM65635 JFI65635 JPE65635 JZA65635 KIW65635 KSS65635 LCO65635 LMK65635 LWG65635 MGC65635 MPY65635 MZU65635 NJQ65635 NTM65635 ODI65635 ONE65635 OXA65635 PGW65635 PQS65635 QAO65635 QKK65635 QUG65635 REC65635 RNY65635 RXU65635 SHQ65635 SRM65635 TBI65635 TLE65635 TVA65635 UEW65635 UOS65635 UYO65635 VIK65635 VSG65635 WCC65635 WLY65635 WVU65635 M131171 JI131171 TE131171 ADA131171 AMW131171 AWS131171 BGO131171 BQK131171 CAG131171 CKC131171 CTY131171 DDU131171 DNQ131171 DXM131171 EHI131171 ERE131171 FBA131171 FKW131171 FUS131171 GEO131171 GOK131171 GYG131171 HIC131171 HRY131171 IBU131171 ILQ131171 IVM131171 JFI131171 JPE131171 JZA131171 KIW131171 KSS131171 LCO131171 LMK131171 LWG131171 MGC131171 MPY131171 MZU131171 NJQ131171 NTM131171 ODI131171 ONE131171 OXA131171 PGW131171 PQS131171 QAO131171 QKK131171 QUG131171 REC131171 RNY131171 RXU131171 SHQ131171 SRM131171 TBI131171 TLE131171 TVA131171 UEW131171 UOS131171 UYO131171 VIK131171 VSG131171 WCC131171 WLY131171 WVU131171 M196707 JI196707 TE196707 ADA196707 AMW196707 AWS196707 BGO196707 BQK196707 CAG196707 CKC196707 CTY196707 DDU196707 DNQ196707 DXM196707 EHI196707 ERE196707 FBA196707 FKW196707 FUS196707 GEO196707 GOK196707 GYG196707 HIC196707 HRY196707 IBU196707 ILQ196707 IVM196707 JFI196707 JPE196707 JZA196707 KIW196707 KSS196707 LCO196707 LMK196707 LWG196707 MGC196707 MPY196707 MZU196707 NJQ196707 NTM196707 ODI196707 ONE196707 OXA196707 PGW196707 PQS196707 QAO196707 QKK196707 QUG196707 REC196707 RNY196707 RXU196707 SHQ196707 SRM196707 TBI196707 TLE196707 TVA196707 UEW196707 UOS196707 UYO196707 VIK196707 VSG196707 WCC196707 WLY196707 WVU196707 M262243 JI262243 TE262243 ADA262243 AMW262243 AWS262243 BGO262243 BQK262243 CAG262243 CKC262243 CTY262243 DDU262243 DNQ262243 DXM262243 EHI262243 ERE262243 FBA262243 FKW262243 FUS262243 GEO262243 GOK262243 GYG262243 HIC262243 HRY262243 IBU262243 ILQ262243 IVM262243 JFI262243 JPE262243 JZA262243 KIW262243 KSS262243 LCO262243 LMK262243 LWG262243 MGC262243 MPY262243 MZU262243 NJQ262243 NTM262243 ODI262243 ONE262243 OXA262243 PGW262243 PQS262243 QAO262243 QKK262243 QUG262243 REC262243 RNY262243 RXU262243 SHQ262243 SRM262243 TBI262243 TLE262243 TVA262243 UEW262243 UOS262243 UYO262243 VIK262243 VSG262243 WCC262243 WLY262243 WVU262243 M327779 JI327779 TE327779 ADA327779 AMW327779 AWS327779 BGO327779 BQK327779 CAG327779 CKC327779 CTY327779 DDU327779 DNQ327779 DXM327779 EHI327779 ERE327779 FBA327779 FKW327779 FUS327779 GEO327779 GOK327779 GYG327779 HIC327779 HRY327779 IBU327779 ILQ327779 IVM327779 JFI327779 JPE327779 JZA327779 KIW327779 KSS327779 LCO327779 LMK327779 LWG327779 MGC327779 MPY327779 MZU327779 NJQ327779 NTM327779 ODI327779 ONE327779 OXA327779 PGW327779 PQS327779 QAO327779 QKK327779 QUG327779 REC327779 RNY327779 RXU327779 SHQ327779 SRM327779 TBI327779 TLE327779 TVA327779 UEW327779 UOS327779 UYO327779 VIK327779 VSG327779 WCC327779 WLY327779 WVU327779 M393315 JI393315 TE393315 ADA393315 AMW393315 AWS393315 BGO393315 BQK393315 CAG393315 CKC393315 CTY393315 DDU393315 DNQ393315 DXM393315 EHI393315 ERE393315 FBA393315 FKW393315 FUS393315 GEO393315 GOK393315 GYG393315 HIC393315 HRY393315 IBU393315 ILQ393315 IVM393315 JFI393315 JPE393315 JZA393315 KIW393315 KSS393315 LCO393315 LMK393315 LWG393315 MGC393315 MPY393315 MZU393315 NJQ393315 NTM393315 ODI393315 ONE393315 OXA393315 PGW393315 PQS393315 QAO393315 QKK393315 QUG393315 REC393315 RNY393315 RXU393315 SHQ393315 SRM393315 TBI393315 TLE393315 TVA393315 UEW393315 UOS393315 UYO393315 VIK393315 VSG393315 WCC393315 WLY393315 WVU393315 M458851 JI458851 TE458851 ADA458851 AMW458851 AWS458851 BGO458851 BQK458851 CAG458851 CKC458851 CTY458851 DDU458851 DNQ458851 DXM458851 EHI458851 ERE458851 FBA458851 FKW458851 FUS458851 GEO458851 GOK458851 GYG458851 HIC458851 HRY458851 IBU458851 ILQ458851 IVM458851 JFI458851 JPE458851 JZA458851 KIW458851 KSS458851 LCO458851 LMK458851 LWG458851 MGC458851 MPY458851 MZU458851 NJQ458851 NTM458851 ODI458851 ONE458851 OXA458851 PGW458851 PQS458851 QAO458851 QKK458851 QUG458851 REC458851 RNY458851 RXU458851 SHQ458851 SRM458851 TBI458851 TLE458851 TVA458851 UEW458851 UOS458851 UYO458851 VIK458851 VSG458851 WCC458851 WLY458851 WVU458851 M524387 JI524387 TE524387 ADA524387 AMW524387 AWS524387 BGO524387 BQK524387 CAG524387 CKC524387 CTY524387 DDU524387 DNQ524387 DXM524387 EHI524387 ERE524387 FBA524387 FKW524387 FUS524387 GEO524387 GOK524387 GYG524387 HIC524387 HRY524387 IBU524387 ILQ524387 IVM524387 JFI524387 JPE524387 JZA524387 KIW524387 KSS524387 LCO524387 LMK524387 LWG524387 MGC524387 MPY524387 MZU524387 NJQ524387 NTM524387 ODI524387 ONE524387 OXA524387 PGW524387 PQS524387 QAO524387 QKK524387 QUG524387 REC524387 RNY524387 RXU524387 SHQ524387 SRM524387 TBI524387 TLE524387 TVA524387 UEW524387 UOS524387 UYO524387 VIK524387 VSG524387 WCC524387 WLY524387 WVU524387 M589923 JI589923 TE589923 ADA589923 AMW589923 AWS589923 BGO589923 BQK589923 CAG589923 CKC589923 CTY589923 DDU589923 DNQ589923 DXM589923 EHI589923 ERE589923 FBA589923 FKW589923 FUS589923 GEO589923 GOK589923 GYG589923 HIC589923 HRY589923 IBU589923 ILQ589923 IVM589923 JFI589923 JPE589923 JZA589923 KIW589923 KSS589923 LCO589923 LMK589923 LWG589923 MGC589923 MPY589923 MZU589923 NJQ589923 NTM589923 ODI589923 ONE589923 OXA589923 PGW589923 PQS589923 QAO589923 QKK589923 QUG589923 REC589923 RNY589923 RXU589923 SHQ589923 SRM589923 TBI589923 TLE589923 TVA589923 UEW589923 UOS589923 UYO589923 VIK589923 VSG589923 WCC589923 WLY589923 WVU589923 M655459 JI655459 TE655459 ADA655459 AMW655459 AWS655459 BGO655459 BQK655459 CAG655459 CKC655459 CTY655459 DDU655459 DNQ655459 DXM655459 EHI655459 ERE655459 FBA655459 FKW655459 FUS655459 GEO655459 GOK655459 GYG655459 HIC655459 HRY655459 IBU655459 ILQ655459 IVM655459 JFI655459 JPE655459 JZA655459 KIW655459 KSS655459 LCO655459 LMK655459 LWG655459 MGC655459 MPY655459 MZU655459 NJQ655459 NTM655459 ODI655459 ONE655459 OXA655459 PGW655459 PQS655459 QAO655459 QKK655459 QUG655459 REC655459 RNY655459 RXU655459 SHQ655459 SRM655459 TBI655459 TLE655459 TVA655459 UEW655459 UOS655459 UYO655459 VIK655459 VSG655459 WCC655459 WLY655459 WVU655459 M720995 JI720995 TE720995 ADA720995 AMW720995 AWS720995 BGO720995 BQK720995 CAG720995 CKC720995 CTY720995 DDU720995 DNQ720995 DXM720995 EHI720995 ERE720995 FBA720995 FKW720995 FUS720995 GEO720995 GOK720995 GYG720995 HIC720995 HRY720995 IBU720995 ILQ720995 IVM720995 JFI720995 JPE720995 JZA720995 KIW720995 KSS720995 LCO720995 LMK720995 LWG720995 MGC720995 MPY720995 MZU720995 NJQ720995 NTM720995 ODI720995 ONE720995 OXA720995 PGW720995 PQS720995 QAO720995 QKK720995 QUG720995 REC720995 RNY720995 RXU720995 SHQ720995 SRM720995 TBI720995 TLE720995 TVA720995 UEW720995 UOS720995 UYO720995 VIK720995 VSG720995 WCC720995 WLY720995 WVU720995 M786531 JI786531 TE786531 ADA786531 AMW786531 AWS786531 BGO786531 BQK786531 CAG786531 CKC786531 CTY786531 DDU786531 DNQ786531 DXM786531 EHI786531 ERE786531 FBA786531 FKW786531 FUS786531 GEO786531 GOK786531 GYG786531 HIC786531 HRY786531 IBU786531 ILQ786531 IVM786531 JFI786531 JPE786531 JZA786531 KIW786531 KSS786531 LCO786531 LMK786531 LWG786531 MGC786531 MPY786531 MZU786531 NJQ786531 NTM786531 ODI786531 ONE786531 OXA786531 PGW786531 PQS786531 QAO786531 QKK786531 QUG786531 REC786531 RNY786531 RXU786531 SHQ786531 SRM786531 TBI786531 TLE786531 TVA786531 UEW786531 UOS786531 UYO786531 VIK786531 VSG786531 WCC786531 WLY786531 WVU786531 M852067 JI852067 TE852067 ADA852067 AMW852067 AWS852067 BGO852067 BQK852067 CAG852067 CKC852067 CTY852067 DDU852067 DNQ852067 DXM852067 EHI852067 ERE852067 FBA852067 FKW852067 FUS852067 GEO852067 GOK852067 GYG852067 HIC852067 HRY852067 IBU852067 ILQ852067 IVM852067 JFI852067 JPE852067 JZA852067 KIW852067 KSS852067 LCO852067 LMK852067 LWG852067 MGC852067 MPY852067 MZU852067 NJQ852067 NTM852067 ODI852067 ONE852067 OXA852067 PGW852067 PQS852067 QAO852067 QKK852067 QUG852067 REC852067 RNY852067 RXU852067 SHQ852067 SRM852067 TBI852067 TLE852067 TVA852067 UEW852067 UOS852067 UYO852067 VIK852067 VSG852067 WCC852067 WLY852067 WVU852067 M917603 JI917603 TE917603 ADA917603 AMW917603 AWS917603 BGO917603 BQK917603 CAG917603 CKC917603 CTY917603 DDU917603 DNQ917603 DXM917603 EHI917603 ERE917603 FBA917603 FKW917603 FUS917603 GEO917603 GOK917603 GYG917603 HIC917603 HRY917603 IBU917603 ILQ917603 IVM917603 JFI917603 JPE917603 JZA917603 KIW917603 KSS917603 LCO917603 LMK917603 LWG917603 MGC917603 MPY917603 MZU917603 NJQ917603 NTM917603 ODI917603 ONE917603 OXA917603 PGW917603 PQS917603 QAO917603 QKK917603 QUG917603 REC917603 RNY917603 RXU917603 SHQ917603 SRM917603 TBI917603 TLE917603 TVA917603 UEW917603 UOS917603 UYO917603 VIK917603 VSG917603 WCC917603 WLY917603 WVU917603 M983139 JI983139 TE983139 ADA983139 AMW983139 AWS983139 BGO983139 BQK983139 CAG983139 CKC983139 CTY983139 DDU983139 DNQ983139 DXM983139 EHI983139 ERE983139 FBA983139 FKW983139 FUS983139 GEO983139 GOK983139 GYG983139 HIC983139 HRY983139 IBU983139 ILQ983139 IVM983139 JFI983139 JPE983139 JZA983139 KIW983139 KSS983139 LCO983139 LMK983139 LWG983139 MGC983139 MPY983139 MZU983139 NJQ983139 NTM983139 ODI983139 ONE983139 OXA983139 PGW983139 PQS983139 QAO983139 QKK983139 QUG983139 REC983139 RNY983139 RXU983139 SHQ983139 SRM983139 TBI983139 TLE983139 TVA983139 UEW983139 UOS983139 UYO983139 VIK983139 VSG983139 WCC983139 WLY983139 WVU983139 JM100:JM101 TI100:TI101 ADE100:ADE101 ANA100:ANA101 AWW100:AWW101 BGS100:BGS101 BQO100:BQO101 CAK100:CAK101 CKG100:CKG101 CUC100:CUC101 DDY100:DDY101 DNU100:DNU101 DXQ100:DXQ101 EHM100:EHM101 ERI100:ERI101 FBE100:FBE101 FLA100:FLA101 FUW100:FUW101 GES100:GES101 GOO100:GOO101 GYK100:GYK101 HIG100:HIG101 HSC100:HSC101 IBY100:IBY101 ILU100:ILU101 IVQ100:IVQ101 JFM100:JFM101 JPI100:JPI101 JZE100:JZE101 KJA100:KJA101 KSW100:KSW101 LCS100:LCS101 LMO100:LMO101 LWK100:LWK101 MGG100:MGG101 MQC100:MQC101 MZY100:MZY101 NJU100:NJU101 NTQ100:NTQ101 ODM100:ODM101 ONI100:ONI101 OXE100:OXE101 PHA100:PHA101 PQW100:PQW101 QAS100:QAS101 QKO100:QKO101 QUK100:QUK101 REG100:REG101 ROC100:ROC101 RXY100:RXY101 SHU100:SHU101 SRQ100:SRQ101 TBM100:TBM101 TLI100:TLI101 TVE100:TVE101 UFA100:UFA101 UOW100:UOW101 UYS100:UYS101 VIO100:VIO101 VSK100:VSK101 WCG100:WCG101 WMC100:WMC101 WVY100:WVY101 Q65635:Q65636 JM65635:JM65636 TI65635:TI65636 ADE65635:ADE65636 ANA65635:ANA65636 AWW65635:AWW65636 BGS65635:BGS65636 BQO65635:BQO65636 CAK65635:CAK65636 CKG65635:CKG65636 CUC65635:CUC65636 DDY65635:DDY65636 DNU65635:DNU65636 DXQ65635:DXQ65636 EHM65635:EHM65636 ERI65635:ERI65636 FBE65635:FBE65636 FLA65635:FLA65636 FUW65635:FUW65636 GES65635:GES65636 GOO65635:GOO65636 GYK65635:GYK65636 HIG65635:HIG65636 HSC65635:HSC65636 IBY65635:IBY65636 ILU65635:ILU65636 IVQ65635:IVQ65636 JFM65635:JFM65636 JPI65635:JPI65636 JZE65635:JZE65636 KJA65635:KJA65636 KSW65635:KSW65636 LCS65635:LCS65636 LMO65635:LMO65636 LWK65635:LWK65636 MGG65635:MGG65636 MQC65635:MQC65636 MZY65635:MZY65636 NJU65635:NJU65636 NTQ65635:NTQ65636 ODM65635:ODM65636 ONI65635:ONI65636 OXE65635:OXE65636 PHA65635:PHA65636 PQW65635:PQW65636 QAS65635:QAS65636 QKO65635:QKO65636 QUK65635:QUK65636 REG65635:REG65636 ROC65635:ROC65636 RXY65635:RXY65636 SHU65635:SHU65636 SRQ65635:SRQ65636 TBM65635:TBM65636 TLI65635:TLI65636 TVE65635:TVE65636 UFA65635:UFA65636 UOW65635:UOW65636 UYS65635:UYS65636 VIO65635:VIO65636 VSK65635:VSK65636 WCG65635:WCG65636 WMC65635:WMC65636 WVY65635:WVY65636 Q131171:Q131172 JM131171:JM131172 TI131171:TI131172 ADE131171:ADE131172 ANA131171:ANA131172 AWW131171:AWW131172 BGS131171:BGS131172 BQO131171:BQO131172 CAK131171:CAK131172 CKG131171:CKG131172 CUC131171:CUC131172 DDY131171:DDY131172 DNU131171:DNU131172 DXQ131171:DXQ131172 EHM131171:EHM131172 ERI131171:ERI131172 FBE131171:FBE131172 FLA131171:FLA131172 FUW131171:FUW131172 GES131171:GES131172 GOO131171:GOO131172 GYK131171:GYK131172 HIG131171:HIG131172 HSC131171:HSC131172 IBY131171:IBY131172 ILU131171:ILU131172 IVQ131171:IVQ131172 JFM131171:JFM131172 JPI131171:JPI131172 JZE131171:JZE131172 KJA131171:KJA131172 KSW131171:KSW131172 LCS131171:LCS131172 LMO131171:LMO131172 LWK131171:LWK131172 MGG131171:MGG131172 MQC131171:MQC131172 MZY131171:MZY131172 NJU131171:NJU131172 NTQ131171:NTQ131172 ODM131171:ODM131172 ONI131171:ONI131172 OXE131171:OXE131172 PHA131171:PHA131172 PQW131171:PQW131172 QAS131171:QAS131172 QKO131171:QKO131172 QUK131171:QUK131172 REG131171:REG131172 ROC131171:ROC131172 RXY131171:RXY131172 SHU131171:SHU131172 SRQ131171:SRQ131172 TBM131171:TBM131172 TLI131171:TLI131172 TVE131171:TVE131172 UFA131171:UFA131172 UOW131171:UOW131172 UYS131171:UYS131172 VIO131171:VIO131172 VSK131171:VSK131172 WCG131171:WCG131172 WMC131171:WMC131172 WVY131171:WVY131172 Q196707:Q196708 JM196707:JM196708 TI196707:TI196708 ADE196707:ADE196708 ANA196707:ANA196708 AWW196707:AWW196708 BGS196707:BGS196708 BQO196707:BQO196708 CAK196707:CAK196708 CKG196707:CKG196708 CUC196707:CUC196708 DDY196707:DDY196708 DNU196707:DNU196708 DXQ196707:DXQ196708 EHM196707:EHM196708 ERI196707:ERI196708 FBE196707:FBE196708 FLA196707:FLA196708 FUW196707:FUW196708 GES196707:GES196708 GOO196707:GOO196708 GYK196707:GYK196708 HIG196707:HIG196708 HSC196707:HSC196708 IBY196707:IBY196708 ILU196707:ILU196708 IVQ196707:IVQ196708 JFM196707:JFM196708 JPI196707:JPI196708 JZE196707:JZE196708 KJA196707:KJA196708 KSW196707:KSW196708 LCS196707:LCS196708 LMO196707:LMO196708 LWK196707:LWK196708 MGG196707:MGG196708 MQC196707:MQC196708 MZY196707:MZY196708 NJU196707:NJU196708 NTQ196707:NTQ196708 ODM196707:ODM196708 ONI196707:ONI196708 OXE196707:OXE196708 PHA196707:PHA196708 PQW196707:PQW196708 QAS196707:QAS196708 QKO196707:QKO196708 QUK196707:QUK196708 REG196707:REG196708 ROC196707:ROC196708 RXY196707:RXY196708 SHU196707:SHU196708 SRQ196707:SRQ196708 TBM196707:TBM196708 TLI196707:TLI196708 TVE196707:TVE196708 UFA196707:UFA196708 UOW196707:UOW196708 UYS196707:UYS196708 VIO196707:VIO196708 VSK196707:VSK196708 WCG196707:WCG196708 WMC196707:WMC196708 WVY196707:WVY196708 Q262243:Q262244 JM262243:JM262244 TI262243:TI262244 ADE262243:ADE262244 ANA262243:ANA262244 AWW262243:AWW262244 BGS262243:BGS262244 BQO262243:BQO262244 CAK262243:CAK262244 CKG262243:CKG262244 CUC262243:CUC262244 DDY262243:DDY262244 DNU262243:DNU262244 DXQ262243:DXQ262244 EHM262243:EHM262244 ERI262243:ERI262244 FBE262243:FBE262244 FLA262243:FLA262244 FUW262243:FUW262244 GES262243:GES262244 GOO262243:GOO262244 GYK262243:GYK262244 HIG262243:HIG262244 HSC262243:HSC262244 IBY262243:IBY262244 ILU262243:ILU262244 IVQ262243:IVQ262244 JFM262243:JFM262244 JPI262243:JPI262244 JZE262243:JZE262244 KJA262243:KJA262244 KSW262243:KSW262244 LCS262243:LCS262244 LMO262243:LMO262244 LWK262243:LWK262244 MGG262243:MGG262244 MQC262243:MQC262244 MZY262243:MZY262244 NJU262243:NJU262244 NTQ262243:NTQ262244 ODM262243:ODM262244 ONI262243:ONI262244 OXE262243:OXE262244 PHA262243:PHA262244 PQW262243:PQW262244 QAS262243:QAS262244 QKO262243:QKO262244 QUK262243:QUK262244 REG262243:REG262244 ROC262243:ROC262244 RXY262243:RXY262244 SHU262243:SHU262244 SRQ262243:SRQ262244 TBM262243:TBM262244 TLI262243:TLI262244 TVE262243:TVE262244 UFA262243:UFA262244 UOW262243:UOW262244 UYS262243:UYS262244 VIO262243:VIO262244 VSK262243:VSK262244 WCG262243:WCG262244 WMC262243:WMC262244 WVY262243:WVY262244 Q327779:Q327780 JM327779:JM327780 TI327779:TI327780 ADE327779:ADE327780 ANA327779:ANA327780 AWW327779:AWW327780 BGS327779:BGS327780 BQO327779:BQO327780 CAK327779:CAK327780 CKG327779:CKG327780 CUC327779:CUC327780 DDY327779:DDY327780 DNU327779:DNU327780 DXQ327779:DXQ327780 EHM327779:EHM327780 ERI327779:ERI327780 FBE327779:FBE327780 FLA327779:FLA327780 FUW327779:FUW327780 GES327779:GES327780 GOO327779:GOO327780 GYK327779:GYK327780 HIG327779:HIG327780 HSC327779:HSC327780 IBY327779:IBY327780 ILU327779:ILU327780 IVQ327779:IVQ327780 JFM327779:JFM327780 JPI327779:JPI327780 JZE327779:JZE327780 KJA327779:KJA327780 KSW327779:KSW327780 LCS327779:LCS327780 LMO327779:LMO327780 LWK327779:LWK327780 MGG327779:MGG327780 MQC327779:MQC327780 MZY327779:MZY327780 NJU327779:NJU327780 NTQ327779:NTQ327780 ODM327779:ODM327780 ONI327779:ONI327780 OXE327779:OXE327780 PHA327779:PHA327780 PQW327779:PQW327780 QAS327779:QAS327780 QKO327779:QKO327780 QUK327779:QUK327780 REG327779:REG327780 ROC327779:ROC327780 RXY327779:RXY327780 SHU327779:SHU327780 SRQ327779:SRQ327780 TBM327779:TBM327780 TLI327779:TLI327780 TVE327779:TVE327780 UFA327779:UFA327780 UOW327779:UOW327780 UYS327779:UYS327780 VIO327779:VIO327780 VSK327779:VSK327780 WCG327779:WCG327780 WMC327779:WMC327780 WVY327779:WVY327780 Q393315:Q393316 JM393315:JM393316 TI393315:TI393316 ADE393315:ADE393316 ANA393315:ANA393316 AWW393315:AWW393316 BGS393315:BGS393316 BQO393315:BQO393316 CAK393315:CAK393316 CKG393315:CKG393316 CUC393315:CUC393316 DDY393315:DDY393316 DNU393315:DNU393316 DXQ393315:DXQ393316 EHM393315:EHM393316 ERI393315:ERI393316 FBE393315:FBE393316 FLA393315:FLA393316 FUW393315:FUW393316 GES393315:GES393316 GOO393315:GOO393316 GYK393315:GYK393316 HIG393315:HIG393316 HSC393315:HSC393316 IBY393315:IBY393316 ILU393315:ILU393316 IVQ393315:IVQ393316 JFM393315:JFM393316 JPI393315:JPI393316 JZE393315:JZE393316 KJA393315:KJA393316 KSW393315:KSW393316 LCS393315:LCS393316 LMO393315:LMO393316 LWK393315:LWK393316 MGG393315:MGG393316 MQC393315:MQC393316 MZY393315:MZY393316 NJU393315:NJU393316 NTQ393315:NTQ393316 ODM393315:ODM393316 ONI393315:ONI393316 OXE393315:OXE393316 PHA393315:PHA393316 PQW393315:PQW393316 QAS393315:QAS393316 QKO393315:QKO393316 QUK393315:QUK393316 REG393315:REG393316 ROC393315:ROC393316 RXY393315:RXY393316 SHU393315:SHU393316 SRQ393315:SRQ393316 TBM393315:TBM393316 TLI393315:TLI393316 TVE393315:TVE393316 UFA393315:UFA393316 UOW393315:UOW393316 UYS393315:UYS393316 VIO393315:VIO393316 VSK393315:VSK393316 WCG393315:WCG393316 WMC393315:WMC393316 WVY393315:WVY393316 Q458851:Q458852 JM458851:JM458852 TI458851:TI458852 ADE458851:ADE458852 ANA458851:ANA458852 AWW458851:AWW458852 BGS458851:BGS458852 BQO458851:BQO458852 CAK458851:CAK458852 CKG458851:CKG458852 CUC458851:CUC458852 DDY458851:DDY458852 DNU458851:DNU458852 DXQ458851:DXQ458852 EHM458851:EHM458852 ERI458851:ERI458852 FBE458851:FBE458852 FLA458851:FLA458852 FUW458851:FUW458852 GES458851:GES458852 GOO458851:GOO458852 GYK458851:GYK458852 HIG458851:HIG458852 HSC458851:HSC458852 IBY458851:IBY458852 ILU458851:ILU458852 IVQ458851:IVQ458852 JFM458851:JFM458852 JPI458851:JPI458852 JZE458851:JZE458852 KJA458851:KJA458852 KSW458851:KSW458852 LCS458851:LCS458852 LMO458851:LMO458852 LWK458851:LWK458852 MGG458851:MGG458852 MQC458851:MQC458852 MZY458851:MZY458852 NJU458851:NJU458852 NTQ458851:NTQ458852 ODM458851:ODM458852 ONI458851:ONI458852 OXE458851:OXE458852 PHA458851:PHA458852 PQW458851:PQW458852 QAS458851:QAS458852 QKO458851:QKO458852 QUK458851:QUK458852 REG458851:REG458852 ROC458851:ROC458852 RXY458851:RXY458852 SHU458851:SHU458852 SRQ458851:SRQ458852 TBM458851:TBM458852 TLI458851:TLI458852 TVE458851:TVE458852 UFA458851:UFA458852 UOW458851:UOW458852 UYS458851:UYS458852 VIO458851:VIO458852 VSK458851:VSK458852 WCG458851:WCG458852 WMC458851:WMC458852 WVY458851:WVY458852 Q524387:Q524388 JM524387:JM524388 TI524387:TI524388 ADE524387:ADE524388 ANA524387:ANA524388 AWW524387:AWW524388 BGS524387:BGS524388 BQO524387:BQO524388 CAK524387:CAK524388 CKG524387:CKG524388 CUC524387:CUC524388 DDY524387:DDY524388 DNU524387:DNU524388 DXQ524387:DXQ524388 EHM524387:EHM524388 ERI524387:ERI524388 FBE524387:FBE524388 FLA524387:FLA524388 FUW524387:FUW524388 GES524387:GES524388 GOO524387:GOO524388 GYK524387:GYK524388 HIG524387:HIG524388 HSC524387:HSC524388 IBY524387:IBY524388 ILU524387:ILU524388 IVQ524387:IVQ524388 JFM524387:JFM524388 JPI524387:JPI524388 JZE524387:JZE524388 KJA524387:KJA524388 KSW524387:KSW524388 LCS524387:LCS524388 LMO524387:LMO524388 LWK524387:LWK524388 MGG524387:MGG524388 MQC524387:MQC524388 MZY524387:MZY524388 NJU524387:NJU524388 NTQ524387:NTQ524388 ODM524387:ODM524388 ONI524387:ONI524388 OXE524387:OXE524388 PHA524387:PHA524388 PQW524387:PQW524388 QAS524387:QAS524388 QKO524387:QKO524388 QUK524387:QUK524388 REG524387:REG524388 ROC524387:ROC524388 RXY524387:RXY524388 SHU524387:SHU524388 SRQ524387:SRQ524388 TBM524387:TBM524388 TLI524387:TLI524388 TVE524387:TVE524388 UFA524387:UFA524388 UOW524387:UOW524388 UYS524387:UYS524388 VIO524387:VIO524388 VSK524387:VSK524388 WCG524387:WCG524388 WMC524387:WMC524388 WVY524387:WVY524388 Q589923:Q589924 JM589923:JM589924 TI589923:TI589924 ADE589923:ADE589924 ANA589923:ANA589924 AWW589923:AWW589924 BGS589923:BGS589924 BQO589923:BQO589924 CAK589923:CAK589924 CKG589923:CKG589924 CUC589923:CUC589924 DDY589923:DDY589924 DNU589923:DNU589924 DXQ589923:DXQ589924 EHM589923:EHM589924 ERI589923:ERI589924 FBE589923:FBE589924 FLA589923:FLA589924 FUW589923:FUW589924 GES589923:GES589924 GOO589923:GOO589924 GYK589923:GYK589924 HIG589923:HIG589924 HSC589923:HSC589924 IBY589923:IBY589924 ILU589923:ILU589924 IVQ589923:IVQ589924 JFM589923:JFM589924 JPI589923:JPI589924 JZE589923:JZE589924 KJA589923:KJA589924 KSW589923:KSW589924 LCS589923:LCS589924 LMO589923:LMO589924 LWK589923:LWK589924 MGG589923:MGG589924 MQC589923:MQC589924 MZY589923:MZY589924 NJU589923:NJU589924 NTQ589923:NTQ589924 ODM589923:ODM589924 ONI589923:ONI589924 OXE589923:OXE589924 PHA589923:PHA589924 PQW589923:PQW589924 QAS589923:QAS589924 QKO589923:QKO589924 QUK589923:QUK589924 REG589923:REG589924 ROC589923:ROC589924 RXY589923:RXY589924 SHU589923:SHU589924 SRQ589923:SRQ589924 TBM589923:TBM589924 TLI589923:TLI589924 TVE589923:TVE589924 UFA589923:UFA589924 UOW589923:UOW589924 UYS589923:UYS589924 VIO589923:VIO589924 VSK589923:VSK589924 WCG589923:WCG589924 WMC589923:WMC589924 WVY589923:WVY589924 Q655459:Q655460 JM655459:JM655460 TI655459:TI655460 ADE655459:ADE655460 ANA655459:ANA655460 AWW655459:AWW655460 BGS655459:BGS655460 BQO655459:BQO655460 CAK655459:CAK655460 CKG655459:CKG655460 CUC655459:CUC655460 DDY655459:DDY655460 DNU655459:DNU655460 DXQ655459:DXQ655460 EHM655459:EHM655460 ERI655459:ERI655460 FBE655459:FBE655460 FLA655459:FLA655460 FUW655459:FUW655460 GES655459:GES655460 GOO655459:GOO655460 GYK655459:GYK655460 HIG655459:HIG655460 HSC655459:HSC655460 IBY655459:IBY655460 ILU655459:ILU655460 IVQ655459:IVQ655460 JFM655459:JFM655460 JPI655459:JPI655460 JZE655459:JZE655460 KJA655459:KJA655460 KSW655459:KSW655460 LCS655459:LCS655460 LMO655459:LMO655460 LWK655459:LWK655460 MGG655459:MGG655460 MQC655459:MQC655460 MZY655459:MZY655460 NJU655459:NJU655460 NTQ655459:NTQ655460 ODM655459:ODM655460 ONI655459:ONI655460 OXE655459:OXE655460 PHA655459:PHA655460 PQW655459:PQW655460 QAS655459:QAS655460 QKO655459:QKO655460 QUK655459:QUK655460 REG655459:REG655460 ROC655459:ROC655460 RXY655459:RXY655460 SHU655459:SHU655460 SRQ655459:SRQ655460 TBM655459:TBM655460 TLI655459:TLI655460 TVE655459:TVE655460 UFA655459:UFA655460 UOW655459:UOW655460 UYS655459:UYS655460 VIO655459:VIO655460 VSK655459:VSK655460 WCG655459:WCG655460 WMC655459:WMC655460 WVY655459:WVY655460 Q720995:Q720996 JM720995:JM720996 TI720995:TI720996 ADE720995:ADE720996 ANA720995:ANA720996 AWW720995:AWW720996 BGS720995:BGS720996 BQO720995:BQO720996 CAK720995:CAK720996 CKG720995:CKG720996 CUC720995:CUC720996 DDY720995:DDY720996 DNU720995:DNU720996 DXQ720995:DXQ720996 EHM720995:EHM720996 ERI720995:ERI720996 FBE720995:FBE720996 FLA720995:FLA720996 FUW720995:FUW720996 GES720995:GES720996 GOO720995:GOO720996 GYK720995:GYK720996 HIG720995:HIG720996 HSC720995:HSC720996 IBY720995:IBY720996 ILU720995:ILU720996 IVQ720995:IVQ720996 JFM720995:JFM720996 JPI720995:JPI720996 JZE720995:JZE720996 KJA720995:KJA720996 KSW720995:KSW720996 LCS720995:LCS720996 LMO720995:LMO720996 LWK720995:LWK720996 MGG720995:MGG720996 MQC720995:MQC720996 MZY720995:MZY720996 NJU720995:NJU720996 NTQ720995:NTQ720996 ODM720995:ODM720996 ONI720995:ONI720996 OXE720995:OXE720996 PHA720995:PHA720996 PQW720995:PQW720996 QAS720995:QAS720996 QKO720995:QKO720996 QUK720995:QUK720996 REG720995:REG720996 ROC720995:ROC720996 RXY720995:RXY720996 SHU720995:SHU720996 SRQ720995:SRQ720996 TBM720995:TBM720996 TLI720995:TLI720996 TVE720995:TVE720996 UFA720995:UFA720996 UOW720995:UOW720996 UYS720995:UYS720996 VIO720995:VIO720996 VSK720995:VSK720996 WCG720995:WCG720996 WMC720995:WMC720996 WVY720995:WVY720996 Q786531:Q786532 JM786531:JM786532 TI786531:TI786532 ADE786531:ADE786532 ANA786531:ANA786532 AWW786531:AWW786532 BGS786531:BGS786532 BQO786531:BQO786532 CAK786531:CAK786532 CKG786531:CKG786532 CUC786531:CUC786532 DDY786531:DDY786532 DNU786531:DNU786532 DXQ786531:DXQ786532 EHM786531:EHM786532 ERI786531:ERI786532 FBE786531:FBE786532 FLA786531:FLA786532 FUW786531:FUW786532 GES786531:GES786532 GOO786531:GOO786532 GYK786531:GYK786532 HIG786531:HIG786532 HSC786531:HSC786532 IBY786531:IBY786532 ILU786531:ILU786532 IVQ786531:IVQ786532 JFM786531:JFM786532 JPI786531:JPI786532 JZE786531:JZE786532 KJA786531:KJA786532 KSW786531:KSW786532 LCS786531:LCS786532 LMO786531:LMO786532 LWK786531:LWK786532 MGG786531:MGG786532 MQC786531:MQC786532 MZY786531:MZY786532 NJU786531:NJU786532 NTQ786531:NTQ786532 ODM786531:ODM786532 ONI786531:ONI786532 OXE786531:OXE786532 PHA786531:PHA786532 PQW786531:PQW786532 QAS786531:QAS786532 QKO786531:QKO786532 QUK786531:QUK786532 REG786531:REG786532 ROC786531:ROC786532 RXY786531:RXY786532 SHU786531:SHU786532 SRQ786531:SRQ786532 TBM786531:TBM786532 TLI786531:TLI786532 TVE786531:TVE786532 UFA786531:UFA786532 UOW786531:UOW786532 UYS786531:UYS786532 VIO786531:VIO786532 VSK786531:VSK786532 WCG786531:WCG786532 WMC786531:WMC786532 WVY786531:WVY786532 Q852067:Q852068 JM852067:JM852068 TI852067:TI852068 ADE852067:ADE852068 ANA852067:ANA852068 AWW852067:AWW852068 BGS852067:BGS852068 BQO852067:BQO852068 CAK852067:CAK852068 CKG852067:CKG852068 CUC852067:CUC852068 DDY852067:DDY852068 DNU852067:DNU852068 DXQ852067:DXQ852068 EHM852067:EHM852068 ERI852067:ERI852068 FBE852067:FBE852068 FLA852067:FLA852068 FUW852067:FUW852068 GES852067:GES852068 GOO852067:GOO852068 GYK852067:GYK852068 HIG852067:HIG852068 HSC852067:HSC852068 IBY852067:IBY852068 ILU852067:ILU852068 IVQ852067:IVQ852068 JFM852067:JFM852068 JPI852067:JPI852068 JZE852067:JZE852068 KJA852067:KJA852068 KSW852067:KSW852068 LCS852067:LCS852068 LMO852067:LMO852068 LWK852067:LWK852068 MGG852067:MGG852068 MQC852067:MQC852068 MZY852067:MZY852068 NJU852067:NJU852068 NTQ852067:NTQ852068 ODM852067:ODM852068 ONI852067:ONI852068 OXE852067:OXE852068 PHA852067:PHA852068 PQW852067:PQW852068 QAS852067:QAS852068 QKO852067:QKO852068 QUK852067:QUK852068 REG852067:REG852068 ROC852067:ROC852068 RXY852067:RXY852068 SHU852067:SHU852068 SRQ852067:SRQ852068 TBM852067:TBM852068 TLI852067:TLI852068 TVE852067:TVE852068 UFA852067:UFA852068 UOW852067:UOW852068 UYS852067:UYS852068 VIO852067:VIO852068 VSK852067:VSK852068 WCG852067:WCG852068 WMC852067:WMC852068 WVY852067:WVY852068 Q917603:Q917604 JM917603:JM917604 TI917603:TI917604 ADE917603:ADE917604 ANA917603:ANA917604 AWW917603:AWW917604 BGS917603:BGS917604 BQO917603:BQO917604 CAK917603:CAK917604 CKG917603:CKG917604 CUC917603:CUC917604 DDY917603:DDY917604 DNU917603:DNU917604 DXQ917603:DXQ917604 EHM917603:EHM917604 ERI917603:ERI917604 FBE917603:FBE917604 FLA917603:FLA917604 FUW917603:FUW917604 GES917603:GES917604 GOO917603:GOO917604 GYK917603:GYK917604 HIG917603:HIG917604 HSC917603:HSC917604 IBY917603:IBY917604 ILU917603:ILU917604 IVQ917603:IVQ917604 JFM917603:JFM917604 JPI917603:JPI917604 JZE917603:JZE917604 KJA917603:KJA917604 KSW917603:KSW917604 LCS917603:LCS917604 LMO917603:LMO917604 LWK917603:LWK917604 MGG917603:MGG917604 MQC917603:MQC917604 MZY917603:MZY917604 NJU917603:NJU917604 NTQ917603:NTQ917604 ODM917603:ODM917604 ONI917603:ONI917604 OXE917603:OXE917604 PHA917603:PHA917604 PQW917603:PQW917604 QAS917603:QAS917604 QKO917603:QKO917604 QUK917603:QUK917604 REG917603:REG917604 ROC917603:ROC917604 RXY917603:RXY917604 SHU917603:SHU917604 SRQ917603:SRQ917604 TBM917603:TBM917604 TLI917603:TLI917604 TVE917603:TVE917604 UFA917603:UFA917604 UOW917603:UOW917604 UYS917603:UYS917604 VIO917603:VIO917604 VSK917603:VSK917604 WCG917603:WCG917604 WMC917603:WMC917604 WVY917603:WVY917604 Q983139:Q983140 JM983139:JM983140 TI983139:TI983140 ADE983139:ADE983140 ANA983139:ANA983140 AWW983139:AWW983140 BGS983139:BGS983140 BQO983139:BQO983140 CAK983139:CAK983140 CKG983139:CKG983140 CUC983139:CUC983140 DDY983139:DDY983140 DNU983139:DNU983140 DXQ983139:DXQ983140 EHM983139:EHM983140 ERI983139:ERI983140 FBE983139:FBE983140 FLA983139:FLA983140 FUW983139:FUW983140 GES983139:GES983140 GOO983139:GOO983140 GYK983139:GYK983140 HIG983139:HIG983140 HSC983139:HSC983140 IBY983139:IBY983140 ILU983139:ILU983140 IVQ983139:IVQ983140 JFM983139:JFM983140 JPI983139:JPI983140 JZE983139:JZE983140 KJA983139:KJA983140 KSW983139:KSW983140 LCS983139:LCS983140 LMO983139:LMO983140 LWK983139:LWK983140 MGG983139:MGG983140 MQC983139:MQC983140 MZY983139:MZY983140 NJU983139:NJU983140 NTQ983139:NTQ983140 ODM983139:ODM983140 ONI983139:ONI983140 OXE983139:OXE983140 PHA983139:PHA983140 PQW983139:PQW983140 QAS983139:QAS983140 QKO983139:QKO983140 QUK983139:QUK983140 REG983139:REG983140 ROC983139:ROC983140 RXY983139:RXY983140 SHU983139:SHU983140 SRQ983139:SRQ983140 TBM983139:TBM983140 TLI983139:TLI983140 TVE983139:TVE983140 UFA983139:UFA983140 UOW983139:UOW983140 UYS983139:UYS983140 VIO983139:VIO983140 VSK983139:VSK983140 WCG983139:WCG983140 WMC983139:WMC983140 WVY983139:WVY983140 JQ100:JQ101 TM100:TM101 ADI100:ADI101 ANE100:ANE101 AXA100:AXA101 BGW100:BGW101 BQS100:BQS101 CAO100:CAO101 CKK100:CKK101 CUG100:CUG101 DEC100:DEC101 DNY100:DNY101 DXU100:DXU101 EHQ100:EHQ101 ERM100:ERM101 FBI100:FBI101 FLE100:FLE101 FVA100:FVA101 GEW100:GEW101 GOS100:GOS101 GYO100:GYO101 HIK100:HIK101 HSG100:HSG101 ICC100:ICC101 ILY100:ILY101 IVU100:IVU101 JFQ100:JFQ101 JPM100:JPM101 JZI100:JZI101 KJE100:KJE101 KTA100:KTA101 LCW100:LCW101 LMS100:LMS101 LWO100:LWO101 MGK100:MGK101 MQG100:MQG101 NAC100:NAC101 NJY100:NJY101 NTU100:NTU101 ODQ100:ODQ101 ONM100:ONM101 OXI100:OXI101 PHE100:PHE101 PRA100:PRA101 QAW100:QAW101 QKS100:QKS101 QUO100:QUO101 REK100:REK101 ROG100:ROG101 RYC100:RYC101 SHY100:SHY101 SRU100:SRU101 TBQ100:TBQ101 TLM100:TLM101 TVI100:TVI101 UFE100:UFE101 UPA100:UPA101 UYW100:UYW101 VIS100:VIS101 VSO100:VSO101 WCK100:WCK101 WMG100:WMG101 WWC100:WWC101 U65635:U65636 JQ65635:JQ65636 TM65635:TM65636 ADI65635:ADI65636 ANE65635:ANE65636 AXA65635:AXA65636 BGW65635:BGW65636 BQS65635:BQS65636 CAO65635:CAO65636 CKK65635:CKK65636 CUG65635:CUG65636 DEC65635:DEC65636 DNY65635:DNY65636 DXU65635:DXU65636 EHQ65635:EHQ65636 ERM65635:ERM65636 FBI65635:FBI65636 FLE65635:FLE65636 FVA65635:FVA65636 GEW65635:GEW65636 GOS65635:GOS65636 GYO65635:GYO65636 HIK65635:HIK65636 HSG65635:HSG65636 ICC65635:ICC65636 ILY65635:ILY65636 IVU65635:IVU65636 JFQ65635:JFQ65636 JPM65635:JPM65636 JZI65635:JZI65636 KJE65635:KJE65636 KTA65635:KTA65636 LCW65635:LCW65636 LMS65635:LMS65636 LWO65635:LWO65636 MGK65635:MGK65636 MQG65635:MQG65636 NAC65635:NAC65636 NJY65635:NJY65636 NTU65635:NTU65636 ODQ65635:ODQ65636 ONM65635:ONM65636 OXI65635:OXI65636 PHE65635:PHE65636 PRA65635:PRA65636 QAW65635:QAW65636 QKS65635:QKS65636 QUO65635:QUO65636 REK65635:REK65636 ROG65635:ROG65636 RYC65635:RYC65636 SHY65635:SHY65636 SRU65635:SRU65636 TBQ65635:TBQ65636 TLM65635:TLM65636 TVI65635:TVI65636 UFE65635:UFE65636 UPA65635:UPA65636 UYW65635:UYW65636 VIS65635:VIS65636 VSO65635:VSO65636 WCK65635:WCK65636 WMG65635:WMG65636 WWC65635:WWC65636 U131171:U131172 JQ131171:JQ131172 TM131171:TM131172 ADI131171:ADI131172 ANE131171:ANE131172 AXA131171:AXA131172 BGW131171:BGW131172 BQS131171:BQS131172 CAO131171:CAO131172 CKK131171:CKK131172 CUG131171:CUG131172 DEC131171:DEC131172 DNY131171:DNY131172 DXU131171:DXU131172 EHQ131171:EHQ131172 ERM131171:ERM131172 FBI131171:FBI131172 FLE131171:FLE131172 FVA131171:FVA131172 GEW131171:GEW131172 GOS131171:GOS131172 GYO131171:GYO131172 HIK131171:HIK131172 HSG131171:HSG131172 ICC131171:ICC131172 ILY131171:ILY131172 IVU131171:IVU131172 JFQ131171:JFQ131172 JPM131171:JPM131172 JZI131171:JZI131172 KJE131171:KJE131172 KTA131171:KTA131172 LCW131171:LCW131172 LMS131171:LMS131172 LWO131171:LWO131172 MGK131171:MGK131172 MQG131171:MQG131172 NAC131171:NAC131172 NJY131171:NJY131172 NTU131171:NTU131172 ODQ131171:ODQ131172 ONM131171:ONM131172 OXI131171:OXI131172 PHE131171:PHE131172 PRA131171:PRA131172 QAW131171:QAW131172 QKS131171:QKS131172 QUO131171:QUO131172 REK131171:REK131172 ROG131171:ROG131172 RYC131171:RYC131172 SHY131171:SHY131172 SRU131171:SRU131172 TBQ131171:TBQ131172 TLM131171:TLM131172 TVI131171:TVI131172 UFE131171:UFE131172 UPA131171:UPA131172 UYW131171:UYW131172 VIS131171:VIS131172 VSO131171:VSO131172 WCK131171:WCK131172 WMG131171:WMG131172 WWC131171:WWC131172 U196707:U196708 JQ196707:JQ196708 TM196707:TM196708 ADI196707:ADI196708 ANE196707:ANE196708 AXA196707:AXA196708 BGW196707:BGW196708 BQS196707:BQS196708 CAO196707:CAO196708 CKK196707:CKK196708 CUG196707:CUG196708 DEC196707:DEC196708 DNY196707:DNY196708 DXU196707:DXU196708 EHQ196707:EHQ196708 ERM196707:ERM196708 FBI196707:FBI196708 FLE196707:FLE196708 FVA196707:FVA196708 GEW196707:GEW196708 GOS196707:GOS196708 GYO196707:GYO196708 HIK196707:HIK196708 HSG196707:HSG196708 ICC196707:ICC196708 ILY196707:ILY196708 IVU196707:IVU196708 JFQ196707:JFQ196708 JPM196707:JPM196708 JZI196707:JZI196708 KJE196707:KJE196708 KTA196707:KTA196708 LCW196707:LCW196708 LMS196707:LMS196708 LWO196707:LWO196708 MGK196707:MGK196708 MQG196707:MQG196708 NAC196707:NAC196708 NJY196707:NJY196708 NTU196707:NTU196708 ODQ196707:ODQ196708 ONM196707:ONM196708 OXI196707:OXI196708 PHE196707:PHE196708 PRA196707:PRA196708 QAW196707:QAW196708 QKS196707:QKS196708 QUO196707:QUO196708 REK196707:REK196708 ROG196707:ROG196708 RYC196707:RYC196708 SHY196707:SHY196708 SRU196707:SRU196708 TBQ196707:TBQ196708 TLM196707:TLM196708 TVI196707:TVI196708 UFE196707:UFE196708 UPA196707:UPA196708 UYW196707:UYW196708 VIS196707:VIS196708 VSO196707:VSO196708 WCK196707:WCK196708 WMG196707:WMG196708 WWC196707:WWC196708 U262243:U262244 JQ262243:JQ262244 TM262243:TM262244 ADI262243:ADI262244 ANE262243:ANE262244 AXA262243:AXA262244 BGW262243:BGW262244 BQS262243:BQS262244 CAO262243:CAO262244 CKK262243:CKK262244 CUG262243:CUG262244 DEC262243:DEC262244 DNY262243:DNY262244 DXU262243:DXU262244 EHQ262243:EHQ262244 ERM262243:ERM262244 FBI262243:FBI262244 FLE262243:FLE262244 FVA262243:FVA262244 GEW262243:GEW262244 GOS262243:GOS262244 GYO262243:GYO262244 HIK262243:HIK262244 HSG262243:HSG262244 ICC262243:ICC262244 ILY262243:ILY262244 IVU262243:IVU262244 JFQ262243:JFQ262244 JPM262243:JPM262244 JZI262243:JZI262244 KJE262243:KJE262244 KTA262243:KTA262244 LCW262243:LCW262244 LMS262243:LMS262244 LWO262243:LWO262244 MGK262243:MGK262244 MQG262243:MQG262244 NAC262243:NAC262244 NJY262243:NJY262244 NTU262243:NTU262244 ODQ262243:ODQ262244 ONM262243:ONM262244 OXI262243:OXI262244 PHE262243:PHE262244 PRA262243:PRA262244 QAW262243:QAW262244 QKS262243:QKS262244 QUO262243:QUO262244 REK262243:REK262244 ROG262243:ROG262244 RYC262243:RYC262244 SHY262243:SHY262244 SRU262243:SRU262244 TBQ262243:TBQ262244 TLM262243:TLM262244 TVI262243:TVI262244 UFE262243:UFE262244 UPA262243:UPA262244 UYW262243:UYW262244 VIS262243:VIS262244 VSO262243:VSO262244 WCK262243:WCK262244 WMG262243:WMG262244 WWC262243:WWC262244 U327779:U327780 JQ327779:JQ327780 TM327779:TM327780 ADI327779:ADI327780 ANE327779:ANE327780 AXA327779:AXA327780 BGW327779:BGW327780 BQS327779:BQS327780 CAO327779:CAO327780 CKK327779:CKK327780 CUG327779:CUG327780 DEC327779:DEC327780 DNY327779:DNY327780 DXU327779:DXU327780 EHQ327779:EHQ327780 ERM327779:ERM327780 FBI327779:FBI327780 FLE327779:FLE327780 FVA327779:FVA327780 GEW327779:GEW327780 GOS327779:GOS327780 GYO327779:GYO327780 HIK327779:HIK327780 HSG327779:HSG327780 ICC327779:ICC327780 ILY327779:ILY327780 IVU327779:IVU327780 JFQ327779:JFQ327780 JPM327779:JPM327780 JZI327779:JZI327780 KJE327779:KJE327780 KTA327779:KTA327780 LCW327779:LCW327780 LMS327779:LMS327780 LWO327779:LWO327780 MGK327779:MGK327780 MQG327779:MQG327780 NAC327779:NAC327780 NJY327779:NJY327780 NTU327779:NTU327780 ODQ327779:ODQ327780 ONM327779:ONM327780 OXI327779:OXI327780 PHE327779:PHE327780 PRA327779:PRA327780 QAW327779:QAW327780 QKS327779:QKS327780 QUO327779:QUO327780 REK327779:REK327780 ROG327779:ROG327780 RYC327779:RYC327780 SHY327779:SHY327780 SRU327779:SRU327780 TBQ327779:TBQ327780 TLM327779:TLM327780 TVI327779:TVI327780 UFE327779:UFE327780 UPA327779:UPA327780 UYW327779:UYW327780 VIS327779:VIS327780 VSO327779:VSO327780 WCK327779:WCK327780 WMG327779:WMG327780 WWC327779:WWC327780 U393315:U393316 JQ393315:JQ393316 TM393315:TM393316 ADI393315:ADI393316 ANE393315:ANE393316 AXA393315:AXA393316 BGW393315:BGW393316 BQS393315:BQS393316 CAO393315:CAO393316 CKK393315:CKK393316 CUG393315:CUG393316 DEC393315:DEC393316 DNY393315:DNY393316 DXU393315:DXU393316 EHQ393315:EHQ393316 ERM393315:ERM393316 FBI393315:FBI393316 FLE393315:FLE393316 FVA393315:FVA393316 GEW393315:GEW393316 GOS393315:GOS393316 GYO393315:GYO393316 HIK393315:HIK393316 HSG393315:HSG393316 ICC393315:ICC393316 ILY393315:ILY393316 IVU393315:IVU393316 JFQ393315:JFQ393316 JPM393315:JPM393316 JZI393315:JZI393316 KJE393315:KJE393316 KTA393315:KTA393316 LCW393315:LCW393316 LMS393315:LMS393316 LWO393315:LWO393316 MGK393315:MGK393316 MQG393315:MQG393316 NAC393315:NAC393316 NJY393315:NJY393316 NTU393315:NTU393316 ODQ393315:ODQ393316 ONM393315:ONM393316 OXI393315:OXI393316 PHE393315:PHE393316 PRA393315:PRA393316 QAW393315:QAW393316 QKS393315:QKS393316 QUO393315:QUO393316 REK393315:REK393316 ROG393315:ROG393316 RYC393315:RYC393316 SHY393315:SHY393316 SRU393315:SRU393316 TBQ393315:TBQ393316 TLM393315:TLM393316 TVI393315:TVI393316 UFE393315:UFE393316 UPA393315:UPA393316 UYW393315:UYW393316 VIS393315:VIS393316 VSO393315:VSO393316 WCK393315:WCK393316 WMG393315:WMG393316 WWC393315:WWC393316 U458851:U458852 JQ458851:JQ458852 TM458851:TM458852 ADI458851:ADI458852 ANE458851:ANE458852 AXA458851:AXA458852 BGW458851:BGW458852 BQS458851:BQS458852 CAO458851:CAO458852 CKK458851:CKK458852 CUG458851:CUG458852 DEC458851:DEC458852 DNY458851:DNY458852 DXU458851:DXU458852 EHQ458851:EHQ458852 ERM458851:ERM458852 FBI458851:FBI458852 FLE458851:FLE458852 FVA458851:FVA458852 GEW458851:GEW458852 GOS458851:GOS458852 GYO458851:GYO458852 HIK458851:HIK458852 HSG458851:HSG458852 ICC458851:ICC458852 ILY458851:ILY458852 IVU458851:IVU458852 JFQ458851:JFQ458852 JPM458851:JPM458852 JZI458851:JZI458852 KJE458851:KJE458852 KTA458851:KTA458852 LCW458851:LCW458852 LMS458851:LMS458852 LWO458851:LWO458852 MGK458851:MGK458852 MQG458851:MQG458852 NAC458851:NAC458852 NJY458851:NJY458852 NTU458851:NTU458852 ODQ458851:ODQ458852 ONM458851:ONM458852 OXI458851:OXI458852 PHE458851:PHE458852 PRA458851:PRA458852 QAW458851:QAW458852 QKS458851:QKS458852 QUO458851:QUO458852 REK458851:REK458852 ROG458851:ROG458852 RYC458851:RYC458852 SHY458851:SHY458852 SRU458851:SRU458852 TBQ458851:TBQ458852 TLM458851:TLM458852 TVI458851:TVI458852 UFE458851:UFE458852 UPA458851:UPA458852 UYW458851:UYW458852 VIS458851:VIS458852 VSO458851:VSO458852 WCK458851:WCK458852 WMG458851:WMG458852 WWC458851:WWC458852 U524387:U524388 JQ524387:JQ524388 TM524387:TM524388 ADI524387:ADI524388 ANE524387:ANE524388 AXA524387:AXA524388 BGW524387:BGW524388 BQS524387:BQS524388 CAO524387:CAO524388 CKK524387:CKK524388 CUG524387:CUG524388 DEC524387:DEC524388 DNY524387:DNY524388 DXU524387:DXU524388 EHQ524387:EHQ524388 ERM524387:ERM524388 FBI524387:FBI524388 FLE524387:FLE524388 FVA524387:FVA524388 GEW524387:GEW524388 GOS524387:GOS524388 GYO524387:GYO524388 HIK524387:HIK524388 HSG524387:HSG524388 ICC524387:ICC524388 ILY524387:ILY524388 IVU524387:IVU524388 JFQ524387:JFQ524388 JPM524387:JPM524388 JZI524387:JZI524388 KJE524387:KJE524388 KTA524387:KTA524388 LCW524387:LCW524388 LMS524387:LMS524388 LWO524387:LWO524388 MGK524387:MGK524388 MQG524387:MQG524388 NAC524387:NAC524388 NJY524387:NJY524388 NTU524387:NTU524388 ODQ524387:ODQ524388 ONM524387:ONM524388 OXI524387:OXI524388 PHE524387:PHE524388 PRA524387:PRA524388 QAW524387:QAW524388 QKS524387:QKS524388 QUO524387:QUO524388 REK524387:REK524388 ROG524387:ROG524388 RYC524387:RYC524388 SHY524387:SHY524388 SRU524387:SRU524388 TBQ524387:TBQ524388 TLM524387:TLM524388 TVI524387:TVI524388 UFE524387:UFE524388 UPA524387:UPA524388 UYW524387:UYW524388 VIS524387:VIS524388 VSO524387:VSO524388 WCK524387:WCK524388 WMG524387:WMG524388 WWC524387:WWC524388 U589923:U589924 JQ589923:JQ589924 TM589923:TM589924 ADI589923:ADI589924 ANE589923:ANE589924 AXA589923:AXA589924 BGW589923:BGW589924 BQS589923:BQS589924 CAO589923:CAO589924 CKK589923:CKK589924 CUG589923:CUG589924 DEC589923:DEC589924 DNY589923:DNY589924 DXU589923:DXU589924 EHQ589923:EHQ589924 ERM589923:ERM589924 FBI589923:FBI589924 FLE589923:FLE589924 FVA589923:FVA589924 GEW589923:GEW589924 GOS589923:GOS589924 GYO589923:GYO589924 HIK589923:HIK589924 HSG589923:HSG589924 ICC589923:ICC589924 ILY589923:ILY589924 IVU589923:IVU589924 JFQ589923:JFQ589924 JPM589923:JPM589924 JZI589923:JZI589924 KJE589923:KJE589924 KTA589923:KTA589924 LCW589923:LCW589924 LMS589923:LMS589924 LWO589923:LWO589924 MGK589923:MGK589924 MQG589923:MQG589924 NAC589923:NAC589924 NJY589923:NJY589924 NTU589923:NTU589924 ODQ589923:ODQ589924 ONM589923:ONM589924 OXI589923:OXI589924 PHE589923:PHE589924 PRA589923:PRA589924 QAW589923:QAW589924 QKS589923:QKS589924 QUO589923:QUO589924 REK589923:REK589924 ROG589923:ROG589924 RYC589923:RYC589924 SHY589923:SHY589924 SRU589923:SRU589924 TBQ589923:TBQ589924 TLM589923:TLM589924 TVI589923:TVI589924 UFE589923:UFE589924 UPA589923:UPA589924 UYW589923:UYW589924 VIS589923:VIS589924 VSO589923:VSO589924 WCK589923:WCK589924 WMG589923:WMG589924 WWC589923:WWC589924 U655459:U655460 JQ655459:JQ655460 TM655459:TM655460 ADI655459:ADI655460 ANE655459:ANE655460 AXA655459:AXA655460 BGW655459:BGW655460 BQS655459:BQS655460 CAO655459:CAO655460 CKK655459:CKK655460 CUG655459:CUG655460 DEC655459:DEC655460 DNY655459:DNY655460 DXU655459:DXU655460 EHQ655459:EHQ655460 ERM655459:ERM655460 FBI655459:FBI655460 FLE655459:FLE655460 FVA655459:FVA655460 GEW655459:GEW655460 GOS655459:GOS655460 GYO655459:GYO655460 HIK655459:HIK655460 HSG655459:HSG655460 ICC655459:ICC655460 ILY655459:ILY655460 IVU655459:IVU655460 JFQ655459:JFQ655460 JPM655459:JPM655460 JZI655459:JZI655460 KJE655459:KJE655460 KTA655459:KTA655460 LCW655459:LCW655460 LMS655459:LMS655460 LWO655459:LWO655460 MGK655459:MGK655460 MQG655459:MQG655460 NAC655459:NAC655460 NJY655459:NJY655460 NTU655459:NTU655460 ODQ655459:ODQ655460 ONM655459:ONM655460 OXI655459:OXI655460 PHE655459:PHE655460 PRA655459:PRA655460 QAW655459:QAW655460 QKS655459:QKS655460 QUO655459:QUO655460 REK655459:REK655460 ROG655459:ROG655460 RYC655459:RYC655460 SHY655459:SHY655460 SRU655459:SRU655460 TBQ655459:TBQ655460 TLM655459:TLM655460 TVI655459:TVI655460 UFE655459:UFE655460 UPA655459:UPA655460 UYW655459:UYW655460 VIS655459:VIS655460 VSO655459:VSO655460 WCK655459:WCK655460 WMG655459:WMG655460 WWC655459:WWC655460 U720995:U720996 JQ720995:JQ720996 TM720995:TM720996 ADI720995:ADI720996 ANE720995:ANE720996 AXA720995:AXA720996 BGW720995:BGW720996 BQS720995:BQS720996 CAO720995:CAO720996 CKK720995:CKK720996 CUG720995:CUG720996 DEC720995:DEC720996 DNY720995:DNY720996 DXU720995:DXU720996 EHQ720995:EHQ720996 ERM720995:ERM720996 FBI720995:FBI720996 FLE720995:FLE720996 FVA720995:FVA720996 GEW720995:GEW720996 GOS720995:GOS720996 GYO720995:GYO720996 HIK720995:HIK720996 HSG720995:HSG720996 ICC720995:ICC720996 ILY720995:ILY720996 IVU720995:IVU720996 JFQ720995:JFQ720996 JPM720995:JPM720996 JZI720995:JZI720996 KJE720995:KJE720996 KTA720995:KTA720996 LCW720995:LCW720996 LMS720995:LMS720996 LWO720995:LWO720996 MGK720995:MGK720996 MQG720995:MQG720996 NAC720995:NAC720996 NJY720995:NJY720996 NTU720995:NTU720996 ODQ720995:ODQ720996 ONM720995:ONM720996 OXI720995:OXI720996 PHE720995:PHE720996 PRA720995:PRA720996 QAW720995:QAW720996 QKS720995:QKS720996 QUO720995:QUO720996 REK720995:REK720996 ROG720995:ROG720996 RYC720995:RYC720996 SHY720995:SHY720996 SRU720995:SRU720996 TBQ720995:TBQ720996 TLM720995:TLM720996 TVI720995:TVI720996 UFE720995:UFE720996 UPA720995:UPA720996 UYW720995:UYW720996 VIS720995:VIS720996 VSO720995:VSO720996 WCK720995:WCK720996 WMG720995:WMG720996 WWC720995:WWC720996 U786531:U786532 JQ786531:JQ786532 TM786531:TM786532 ADI786531:ADI786532 ANE786531:ANE786532 AXA786531:AXA786532 BGW786531:BGW786532 BQS786531:BQS786532 CAO786531:CAO786532 CKK786531:CKK786532 CUG786531:CUG786532 DEC786531:DEC786532 DNY786531:DNY786532 DXU786531:DXU786532 EHQ786531:EHQ786532 ERM786531:ERM786532 FBI786531:FBI786532 FLE786531:FLE786532 FVA786531:FVA786532 GEW786531:GEW786532 GOS786531:GOS786532 GYO786531:GYO786532 HIK786531:HIK786532 HSG786531:HSG786532 ICC786531:ICC786532 ILY786531:ILY786532 IVU786531:IVU786532 JFQ786531:JFQ786532 JPM786531:JPM786532 JZI786531:JZI786532 KJE786531:KJE786532 KTA786531:KTA786532 LCW786531:LCW786532 LMS786531:LMS786532 LWO786531:LWO786532 MGK786531:MGK786532 MQG786531:MQG786532 NAC786531:NAC786532 NJY786531:NJY786532 NTU786531:NTU786532 ODQ786531:ODQ786532 ONM786531:ONM786532 OXI786531:OXI786532 PHE786531:PHE786532 PRA786531:PRA786532 QAW786531:QAW786532 QKS786531:QKS786532 QUO786531:QUO786532 REK786531:REK786532 ROG786531:ROG786532 RYC786531:RYC786532 SHY786531:SHY786532 SRU786531:SRU786532 TBQ786531:TBQ786532 TLM786531:TLM786532 TVI786531:TVI786532 UFE786531:UFE786532 UPA786531:UPA786532 UYW786531:UYW786532 VIS786531:VIS786532 VSO786531:VSO786532 WCK786531:WCK786532 WMG786531:WMG786532 WWC786531:WWC786532 U852067:U852068 JQ852067:JQ852068 TM852067:TM852068 ADI852067:ADI852068 ANE852067:ANE852068 AXA852067:AXA852068 BGW852067:BGW852068 BQS852067:BQS852068 CAO852067:CAO852068 CKK852067:CKK852068 CUG852067:CUG852068 DEC852067:DEC852068 DNY852067:DNY852068 DXU852067:DXU852068 EHQ852067:EHQ852068 ERM852067:ERM852068 FBI852067:FBI852068 FLE852067:FLE852068 FVA852067:FVA852068 GEW852067:GEW852068 GOS852067:GOS852068 GYO852067:GYO852068 HIK852067:HIK852068 HSG852067:HSG852068 ICC852067:ICC852068 ILY852067:ILY852068 IVU852067:IVU852068 JFQ852067:JFQ852068 JPM852067:JPM852068 JZI852067:JZI852068 KJE852067:KJE852068 KTA852067:KTA852068 LCW852067:LCW852068 LMS852067:LMS852068 LWO852067:LWO852068 MGK852067:MGK852068 MQG852067:MQG852068 NAC852067:NAC852068 NJY852067:NJY852068 NTU852067:NTU852068 ODQ852067:ODQ852068 ONM852067:ONM852068 OXI852067:OXI852068 PHE852067:PHE852068 PRA852067:PRA852068 QAW852067:QAW852068 QKS852067:QKS852068 QUO852067:QUO852068 REK852067:REK852068 ROG852067:ROG852068 RYC852067:RYC852068 SHY852067:SHY852068 SRU852067:SRU852068 TBQ852067:TBQ852068 TLM852067:TLM852068 TVI852067:TVI852068 UFE852067:UFE852068 UPA852067:UPA852068 UYW852067:UYW852068 VIS852067:VIS852068 VSO852067:VSO852068 WCK852067:WCK852068 WMG852067:WMG852068 WWC852067:WWC852068 U917603:U917604 JQ917603:JQ917604 TM917603:TM917604 ADI917603:ADI917604 ANE917603:ANE917604 AXA917603:AXA917604 BGW917603:BGW917604 BQS917603:BQS917604 CAO917603:CAO917604 CKK917603:CKK917604 CUG917603:CUG917604 DEC917603:DEC917604 DNY917603:DNY917604 DXU917603:DXU917604 EHQ917603:EHQ917604 ERM917603:ERM917604 FBI917603:FBI917604 FLE917603:FLE917604 FVA917603:FVA917604 GEW917603:GEW917604 GOS917603:GOS917604 GYO917603:GYO917604 HIK917603:HIK917604 HSG917603:HSG917604 ICC917603:ICC917604 ILY917603:ILY917604 IVU917603:IVU917604 JFQ917603:JFQ917604 JPM917603:JPM917604 JZI917603:JZI917604 KJE917603:KJE917604 KTA917603:KTA917604 LCW917603:LCW917604 LMS917603:LMS917604 LWO917603:LWO917604 MGK917603:MGK917604 MQG917603:MQG917604 NAC917603:NAC917604 NJY917603:NJY917604 NTU917603:NTU917604 ODQ917603:ODQ917604 ONM917603:ONM917604 OXI917603:OXI917604 PHE917603:PHE917604 PRA917603:PRA917604 QAW917603:QAW917604 QKS917603:QKS917604 QUO917603:QUO917604 REK917603:REK917604 ROG917603:ROG917604 RYC917603:RYC917604 SHY917603:SHY917604 SRU917603:SRU917604 TBQ917603:TBQ917604 TLM917603:TLM917604 TVI917603:TVI917604 UFE917603:UFE917604 UPA917603:UPA917604 UYW917603:UYW917604 VIS917603:VIS917604 VSO917603:VSO917604 WCK917603:WCK917604 WMG917603:WMG917604 WWC917603:WWC917604 U983139:U983140 JQ983139:JQ983140 TM983139:TM983140 ADI983139:ADI983140 ANE983139:ANE983140 AXA983139:AXA983140 BGW983139:BGW983140 BQS983139:BQS983140 CAO983139:CAO983140 CKK983139:CKK983140 CUG983139:CUG983140 DEC983139:DEC983140 DNY983139:DNY983140 DXU983139:DXU983140 EHQ983139:EHQ983140 ERM983139:ERM983140 FBI983139:FBI983140 FLE983139:FLE983140 FVA983139:FVA983140 GEW983139:GEW983140 GOS983139:GOS983140 GYO983139:GYO983140 HIK983139:HIK983140 HSG983139:HSG983140 ICC983139:ICC983140 ILY983139:ILY983140 IVU983139:IVU983140 JFQ983139:JFQ983140 JPM983139:JPM983140 JZI983139:JZI983140 KJE983139:KJE983140 KTA983139:KTA983140 LCW983139:LCW983140 LMS983139:LMS983140 LWO983139:LWO983140 MGK983139:MGK983140 MQG983139:MQG983140 NAC983139:NAC983140 NJY983139:NJY983140 NTU983139:NTU983140 ODQ983139:ODQ983140 ONM983139:ONM983140 OXI983139:OXI983140 PHE983139:PHE983140 PRA983139:PRA983140 QAW983139:QAW983140 QKS983139:QKS983140 QUO983139:QUO983140 REK983139:REK983140 ROG983139:ROG983140 RYC983139:RYC983140 SHY983139:SHY983140 SRU983139:SRU983140 TBQ983139:TBQ983140 TLM983139:TLM983140 TVI983139:TVI983140 UFE983139:UFE983140 UPA983139:UPA983140 UYW983139:UYW983140 VIS983139:VIS983140 VSO983139:VSO983140 WCK983139:WCK983140 WMG983139:WMG983140 WWC983139:WWC983140 FBC71:FBC77 JB102:JB103 SX102:SX103 ACT102:ACT103 AMP102:AMP103 AWL102:AWL103 BGH102:BGH103 BQD102:BQD103 BZZ102:BZZ103 CJV102:CJV103 CTR102:CTR103 DDN102:DDN103 DNJ102:DNJ103 DXF102:DXF103 EHB102:EHB103 EQX102:EQX103 FAT102:FAT103 FKP102:FKP103 FUL102:FUL103 GEH102:GEH103 GOD102:GOD103 GXZ102:GXZ103 HHV102:HHV103 HRR102:HRR103 IBN102:IBN103 ILJ102:ILJ103 IVF102:IVF103 JFB102:JFB103 JOX102:JOX103 JYT102:JYT103 KIP102:KIP103 KSL102:KSL103 LCH102:LCH103 LMD102:LMD103 LVZ102:LVZ103 MFV102:MFV103 MPR102:MPR103 MZN102:MZN103 NJJ102:NJJ103 NTF102:NTF103 ODB102:ODB103 OMX102:OMX103 OWT102:OWT103 PGP102:PGP103 PQL102:PQL103 QAH102:QAH103 QKD102:QKD103 QTZ102:QTZ103 RDV102:RDV103 RNR102:RNR103 RXN102:RXN103 SHJ102:SHJ103 SRF102:SRF103 TBB102:TBB103 TKX102:TKX103 TUT102:TUT103 UEP102:UEP103 UOL102:UOL103 UYH102:UYH103 VID102:VID103 VRZ102:VRZ103 WBV102:WBV103 WLR102:WLR103 WVN102:WVN103 F65637:F65638 JB65637:JB65638 SX65637:SX65638 ACT65637:ACT65638 AMP65637:AMP65638 AWL65637:AWL65638 BGH65637:BGH65638 BQD65637:BQD65638 BZZ65637:BZZ65638 CJV65637:CJV65638 CTR65637:CTR65638 DDN65637:DDN65638 DNJ65637:DNJ65638 DXF65637:DXF65638 EHB65637:EHB65638 EQX65637:EQX65638 FAT65637:FAT65638 FKP65637:FKP65638 FUL65637:FUL65638 GEH65637:GEH65638 GOD65637:GOD65638 GXZ65637:GXZ65638 HHV65637:HHV65638 HRR65637:HRR65638 IBN65637:IBN65638 ILJ65637:ILJ65638 IVF65637:IVF65638 JFB65637:JFB65638 JOX65637:JOX65638 JYT65637:JYT65638 KIP65637:KIP65638 KSL65637:KSL65638 LCH65637:LCH65638 LMD65637:LMD65638 LVZ65637:LVZ65638 MFV65637:MFV65638 MPR65637:MPR65638 MZN65637:MZN65638 NJJ65637:NJJ65638 NTF65637:NTF65638 ODB65637:ODB65638 OMX65637:OMX65638 OWT65637:OWT65638 PGP65637:PGP65638 PQL65637:PQL65638 QAH65637:QAH65638 QKD65637:QKD65638 QTZ65637:QTZ65638 RDV65637:RDV65638 RNR65637:RNR65638 RXN65637:RXN65638 SHJ65637:SHJ65638 SRF65637:SRF65638 TBB65637:TBB65638 TKX65637:TKX65638 TUT65637:TUT65638 UEP65637:UEP65638 UOL65637:UOL65638 UYH65637:UYH65638 VID65637:VID65638 VRZ65637:VRZ65638 WBV65637:WBV65638 WLR65637:WLR65638 WVN65637:WVN65638 F131173:F131174 JB131173:JB131174 SX131173:SX131174 ACT131173:ACT131174 AMP131173:AMP131174 AWL131173:AWL131174 BGH131173:BGH131174 BQD131173:BQD131174 BZZ131173:BZZ131174 CJV131173:CJV131174 CTR131173:CTR131174 DDN131173:DDN131174 DNJ131173:DNJ131174 DXF131173:DXF131174 EHB131173:EHB131174 EQX131173:EQX131174 FAT131173:FAT131174 FKP131173:FKP131174 FUL131173:FUL131174 GEH131173:GEH131174 GOD131173:GOD131174 GXZ131173:GXZ131174 HHV131173:HHV131174 HRR131173:HRR131174 IBN131173:IBN131174 ILJ131173:ILJ131174 IVF131173:IVF131174 JFB131173:JFB131174 JOX131173:JOX131174 JYT131173:JYT131174 KIP131173:KIP131174 KSL131173:KSL131174 LCH131173:LCH131174 LMD131173:LMD131174 LVZ131173:LVZ131174 MFV131173:MFV131174 MPR131173:MPR131174 MZN131173:MZN131174 NJJ131173:NJJ131174 NTF131173:NTF131174 ODB131173:ODB131174 OMX131173:OMX131174 OWT131173:OWT131174 PGP131173:PGP131174 PQL131173:PQL131174 QAH131173:QAH131174 QKD131173:QKD131174 QTZ131173:QTZ131174 RDV131173:RDV131174 RNR131173:RNR131174 RXN131173:RXN131174 SHJ131173:SHJ131174 SRF131173:SRF131174 TBB131173:TBB131174 TKX131173:TKX131174 TUT131173:TUT131174 UEP131173:UEP131174 UOL131173:UOL131174 UYH131173:UYH131174 VID131173:VID131174 VRZ131173:VRZ131174 WBV131173:WBV131174 WLR131173:WLR131174 WVN131173:WVN131174 F196709:F196710 JB196709:JB196710 SX196709:SX196710 ACT196709:ACT196710 AMP196709:AMP196710 AWL196709:AWL196710 BGH196709:BGH196710 BQD196709:BQD196710 BZZ196709:BZZ196710 CJV196709:CJV196710 CTR196709:CTR196710 DDN196709:DDN196710 DNJ196709:DNJ196710 DXF196709:DXF196710 EHB196709:EHB196710 EQX196709:EQX196710 FAT196709:FAT196710 FKP196709:FKP196710 FUL196709:FUL196710 GEH196709:GEH196710 GOD196709:GOD196710 GXZ196709:GXZ196710 HHV196709:HHV196710 HRR196709:HRR196710 IBN196709:IBN196710 ILJ196709:ILJ196710 IVF196709:IVF196710 JFB196709:JFB196710 JOX196709:JOX196710 JYT196709:JYT196710 KIP196709:KIP196710 KSL196709:KSL196710 LCH196709:LCH196710 LMD196709:LMD196710 LVZ196709:LVZ196710 MFV196709:MFV196710 MPR196709:MPR196710 MZN196709:MZN196710 NJJ196709:NJJ196710 NTF196709:NTF196710 ODB196709:ODB196710 OMX196709:OMX196710 OWT196709:OWT196710 PGP196709:PGP196710 PQL196709:PQL196710 QAH196709:QAH196710 QKD196709:QKD196710 QTZ196709:QTZ196710 RDV196709:RDV196710 RNR196709:RNR196710 RXN196709:RXN196710 SHJ196709:SHJ196710 SRF196709:SRF196710 TBB196709:TBB196710 TKX196709:TKX196710 TUT196709:TUT196710 UEP196709:UEP196710 UOL196709:UOL196710 UYH196709:UYH196710 VID196709:VID196710 VRZ196709:VRZ196710 WBV196709:WBV196710 WLR196709:WLR196710 WVN196709:WVN196710 F262245:F262246 JB262245:JB262246 SX262245:SX262246 ACT262245:ACT262246 AMP262245:AMP262246 AWL262245:AWL262246 BGH262245:BGH262246 BQD262245:BQD262246 BZZ262245:BZZ262246 CJV262245:CJV262246 CTR262245:CTR262246 DDN262245:DDN262246 DNJ262245:DNJ262246 DXF262245:DXF262246 EHB262245:EHB262246 EQX262245:EQX262246 FAT262245:FAT262246 FKP262245:FKP262246 FUL262245:FUL262246 GEH262245:GEH262246 GOD262245:GOD262246 GXZ262245:GXZ262246 HHV262245:HHV262246 HRR262245:HRR262246 IBN262245:IBN262246 ILJ262245:ILJ262246 IVF262245:IVF262246 JFB262245:JFB262246 JOX262245:JOX262246 JYT262245:JYT262246 KIP262245:KIP262246 KSL262245:KSL262246 LCH262245:LCH262246 LMD262245:LMD262246 LVZ262245:LVZ262246 MFV262245:MFV262246 MPR262245:MPR262246 MZN262245:MZN262246 NJJ262245:NJJ262246 NTF262245:NTF262246 ODB262245:ODB262246 OMX262245:OMX262246 OWT262245:OWT262246 PGP262245:PGP262246 PQL262245:PQL262246 QAH262245:QAH262246 QKD262245:QKD262246 QTZ262245:QTZ262246 RDV262245:RDV262246 RNR262245:RNR262246 RXN262245:RXN262246 SHJ262245:SHJ262246 SRF262245:SRF262246 TBB262245:TBB262246 TKX262245:TKX262246 TUT262245:TUT262246 UEP262245:UEP262246 UOL262245:UOL262246 UYH262245:UYH262246 VID262245:VID262246 VRZ262245:VRZ262246 WBV262245:WBV262246 WLR262245:WLR262246 WVN262245:WVN262246 F327781:F327782 JB327781:JB327782 SX327781:SX327782 ACT327781:ACT327782 AMP327781:AMP327782 AWL327781:AWL327782 BGH327781:BGH327782 BQD327781:BQD327782 BZZ327781:BZZ327782 CJV327781:CJV327782 CTR327781:CTR327782 DDN327781:DDN327782 DNJ327781:DNJ327782 DXF327781:DXF327782 EHB327781:EHB327782 EQX327781:EQX327782 FAT327781:FAT327782 FKP327781:FKP327782 FUL327781:FUL327782 GEH327781:GEH327782 GOD327781:GOD327782 GXZ327781:GXZ327782 HHV327781:HHV327782 HRR327781:HRR327782 IBN327781:IBN327782 ILJ327781:ILJ327782 IVF327781:IVF327782 JFB327781:JFB327782 JOX327781:JOX327782 JYT327781:JYT327782 KIP327781:KIP327782 KSL327781:KSL327782 LCH327781:LCH327782 LMD327781:LMD327782 LVZ327781:LVZ327782 MFV327781:MFV327782 MPR327781:MPR327782 MZN327781:MZN327782 NJJ327781:NJJ327782 NTF327781:NTF327782 ODB327781:ODB327782 OMX327781:OMX327782 OWT327781:OWT327782 PGP327781:PGP327782 PQL327781:PQL327782 QAH327781:QAH327782 QKD327781:QKD327782 QTZ327781:QTZ327782 RDV327781:RDV327782 RNR327781:RNR327782 RXN327781:RXN327782 SHJ327781:SHJ327782 SRF327781:SRF327782 TBB327781:TBB327782 TKX327781:TKX327782 TUT327781:TUT327782 UEP327781:UEP327782 UOL327781:UOL327782 UYH327781:UYH327782 VID327781:VID327782 VRZ327781:VRZ327782 WBV327781:WBV327782 WLR327781:WLR327782 WVN327781:WVN327782 F393317:F393318 JB393317:JB393318 SX393317:SX393318 ACT393317:ACT393318 AMP393317:AMP393318 AWL393317:AWL393318 BGH393317:BGH393318 BQD393317:BQD393318 BZZ393317:BZZ393318 CJV393317:CJV393318 CTR393317:CTR393318 DDN393317:DDN393318 DNJ393317:DNJ393318 DXF393317:DXF393318 EHB393317:EHB393318 EQX393317:EQX393318 FAT393317:FAT393318 FKP393317:FKP393318 FUL393317:FUL393318 GEH393317:GEH393318 GOD393317:GOD393318 GXZ393317:GXZ393318 HHV393317:HHV393318 HRR393317:HRR393318 IBN393317:IBN393318 ILJ393317:ILJ393318 IVF393317:IVF393318 JFB393317:JFB393318 JOX393317:JOX393318 JYT393317:JYT393318 KIP393317:KIP393318 KSL393317:KSL393318 LCH393317:LCH393318 LMD393317:LMD393318 LVZ393317:LVZ393318 MFV393317:MFV393318 MPR393317:MPR393318 MZN393317:MZN393318 NJJ393317:NJJ393318 NTF393317:NTF393318 ODB393317:ODB393318 OMX393317:OMX393318 OWT393317:OWT393318 PGP393317:PGP393318 PQL393317:PQL393318 QAH393317:QAH393318 QKD393317:QKD393318 QTZ393317:QTZ393318 RDV393317:RDV393318 RNR393317:RNR393318 RXN393317:RXN393318 SHJ393317:SHJ393318 SRF393317:SRF393318 TBB393317:TBB393318 TKX393317:TKX393318 TUT393317:TUT393318 UEP393317:UEP393318 UOL393317:UOL393318 UYH393317:UYH393318 VID393317:VID393318 VRZ393317:VRZ393318 WBV393317:WBV393318 WLR393317:WLR393318 WVN393317:WVN393318 F458853:F458854 JB458853:JB458854 SX458853:SX458854 ACT458853:ACT458854 AMP458853:AMP458854 AWL458853:AWL458854 BGH458853:BGH458854 BQD458853:BQD458854 BZZ458853:BZZ458854 CJV458853:CJV458854 CTR458853:CTR458854 DDN458853:DDN458854 DNJ458853:DNJ458854 DXF458853:DXF458854 EHB458853:EHB458854 EQX458853:EQX458854 FAT458853:FAT458854 FKP458853:FKP458854 FUL458853:FUL458854 GEH458853:GEH458854 GOD458853:GOD458854 GXZ458853:GXZ458854 HHV458853:HHV458854 HRR458853:HRR458854 IBN458853:IBN458854 ILJ458853:ILJ458854 IVF458853:IVF458854 JFB458853:JFB458854 JOX458853:JOX458854 JYT458853:JYT458854 KIP458853:KIP458854 KSL458853:KSL458854 LCH458853:LCH458854 LMD458853:LMD458854 LVZ458853:LVZ458854 MFV458853:MFV458854 MPR458853:MPR458854 MZN458853:MZN458854 NJJ458853:NJJ458854 NTF458853:NTF458854 ODB458853:ODB458854 OMX458853:OMX458854 OWT458853:OWT458854 PGP458853:PGP458854 PQL458853:PQL458854 QAH458853:QAH458854 QKD458853:QKD458854 QTZ458853:QTZ458854 RDV458853:RDV458854 RNR458853:RNR458854 RXN458853:RXN458854 SHJ458853:SHJ458854 SRF458853:SRF458854 TBB458853:TBB458854 TKX458853:TKX458854 TUT458853:TUT458854 UEP458853:UEP458854 UOL458853:UOL458854 UYH458853:UYH458854 VID458853:VID458854 VRZ458853:VRZ458854 WBV458853:WBV458854 WLR458853:WLR458854 WVN458853:WVN458854 F524389:F524390 JB524389:JB524390 SX524389:SX524390 ACT524389:ACT524390 AMP524389:AMP524390 AWL524389:AWL524390 BGH524389:BGH524390 BQD524389:BQD524390 BZZ524389:BZZ524390 CJV524389:CJV524390 CTR524389:CTR524390 DDN524389:DDN524390 DNJ524389:DNJ524390 DXF524389:DXF524390 EHB524389:EHB524390 EQX524389:EQX524390 FAT524389:FAT524390 FKP524389:FKP524390 FUL524389:FUL524390 GEH524389:GEH524390 GOD524389:GOD524390 GXZ524389:GXZ524390 HHV524389:HHV524390 HRR524389:HRR524390 IBN524389:IBN524390 ILJ524389:ILJ524390 IVF524389:IVF524390 JFB524389:JFB524390 JOX524389:JOX524390 JYT524389:JYT524390 KIP524389:KIP524390 KSL524389:KSL524390 LCH524389:LCH524390 LMD524389:LMD524390 LVZ524389:LVZ524390 MFV524389:MFV524390 MPR524389:MPR524390 MZN524389:MZN524390 NJJ524389:NJJ524390 NTF524389:NTF524390 ODB524389:ODB524390 OMX524389:OMX524390 OWT524389:OWT524390 PGP524389:PGP524390 PQL524389:PQL524390 QAH524389:QAH524390 QKD524389:QKD524390 QTZ524389:QTZ524390 RDV524389:RDV524390 RNR524389:RNR524390 RXN524389:RXN524390 SHJ524389:SHJ524390 SRF524389:SRF524390 TBB524389:TBB524390 TKX524389:TKX524390 TUT524389:TUT524390 UEP524389:UEP524390 UOL524389:UOL524390 UYH524389:UYH524390 VID524389:VID524390 VRZ524389:VRZ524390 WBV524389:WBV524390 WLR524389:WLR524390 WVN524389:WVN524390 F589925:F589926 JB589925:JB589926 SX589925:SX589926 ACT589925:ACT589926 AMP589925:AMP589926 AWL589925:AWL589926 BGH589925:BGH589926 BQD589925:BQD589926 BZZ589925:BZZ589926 CJV589925:CJV589926 CTR589925:CTR589926 DDN589925:DDN589926 DNJ589925:DNJ589926 DXF589925:DXF589926 EHB589925:EHB589926 EQX589925:EQX589926 FAT589925:FAT589926 FKP589925:FKP589926 FUL589925:FUL589926 GEH589925:GEH589926 GOD589925:GOD589926 GXZ589925:GXZ589926 HHV589925:HHV589926 HRR589925:HRR589926 IBN589925:IBN589926 ILJ589925:ILJ589926 IVF589925:IVF589926 JFB589925:JFB589926 JOX589925:JOX589926 JYT589925:JYT589926 KIP589925:KIP589926 KSL589925:KSL589926 LCH589925:LCH589926 LMD589925:LMD589926 LVZ589925:LVZ589926 MFV589925:MFV589926 MPR589925:MPR589926 MZN589925:MZN589926 NJJ589925:NJJ589926 NTF589925:NTF589926 ODB589925:ODB589926 OMX589925:OMX589926 OWT589925:OWT589926 PGP589925:PGP589926 PQL589925:PQL589926 QAH589925:QAH589926 QKD589925:QKD589926 QTZ589925:QTZ589926 RDV589925:RDV589926 RNR589925:RNR589926 RXN589925:RXN589926 SHJ589925:SHJ589926 SRF589925:SRF589926 TBB589925:TBB589926 TKX589925:TKX589926 TUT589925:TUT589926 UEP589925:UEP589926 UOL589925:UOL589926 UYH589925:UYH589926 VID589925:VID589926 VRZ589925:VRZ589926 WBV589925:WBV589926 WLR589925:WLR589926 WVN589925:WVN589926 F655461:F655462 JB655461:JB655462 SX655461:SX655462 ACT655461:ACT655462 AMP655461:AMP655462 AWL655461:AWL655462 BGH655461:BGH655462 BQD655461:BQD655462 BZZ655461:BZZ655462 CJV655461:CJV655462 CTR655461:CTR655462 DDN655461:DDN655462 DNJ655461:DNJ655462 DXF655461:DXF655462 EHB655461:EHB655462 EQX655461:EQX655462 FAT655461:FAT655462 FKP655461:FKP655462 FUL655461:FUL655462 GEH655461:GEH655462 GOD655461:GOD655462 GXZ655461:GXZ655462 HHV655461:HHV655462 HRR655461:HRR655462 IBN655461:IBN655462 ILJ655461:ILJ655462 IVF655461:IVF655462 JFB655461:JFB655462 JOX655461:JOX655462 JYT655461:JYT655462 KIP655461:KIP655462 KSL655461:KSL655462 LCH655461:LCH655462 LMD655461:LMD655462 LVZ655461:LVZ655462 MFV655461:MFV655462 MPR655461:MPR655462 MZN655461:MZN655462 NJJ655461:NJJ655462 NTF655461:NTF655462 ODB655461:ODB655462 OMX655461:OMX655462 OWT655461:OWT655462 PGP655461:PGP655462 PQL655461:PQL655462 QAH655461:QAH655462 QKD655461:QKD655462 QTZ655461:QTZ655462 RDV655461:RDV655462 RNR655461:RNR655462 RXN655461:RXN655462 SHJ655461:SHJ655462 SRF655461:SRF655462 TBB655461:TBB655462 TKX655461:TKX655462 TUT655461:TUT655462 UEP655461:UEP655462 UOL655461:UOL655462 UYH655461:UYH655462 VID655461:VID655462 VRZ655461:VRZ655462 WBV655461:WBV655462 WLR655461:WLR655462 WVN655461:WVN655462 F720997:F720998 JB720997:JB720998 SX720997:SX720998 ACT720997:ACT720998 AMP720997:AMP720998 AWL720997:AWL720998 BGH720997:BGH720998 BQD720997:BQD720998 BZZ720997:BZZ720998 CJV720997:CJV720998 CTR720997:CTR720998 DDN720997:DDN720998 DNJ720997:DNJ720998 DXF720997:DXF720998 EHB720997:EHB720998 EQX720997:EQX720998 FAT720997:FAT720998 FKP720997:FKP720998 FUL720997:FUL720998 GEH720997:GEH720998 GOD720997:GOD720998 GXZ720997:GXZ720998 HHV720997:HHV720998 HRR720997:HRR720998 IBN720997:IBN720998 ILJ720997:ILJ720998 IVF720997:IVF720998 JFB720997:JFB720998 JOX720997:JOX720998 JYT720997:JYT720998 KIP720997:KIP720998 KSL720997:KSL720998 LCH720997:LCH720998 LMD720997:LMD720998 LVZ720997:LVZ720998 MFV720997:MFV720998 MPR720997:MPR720998 MZN720997:MZN720998 NJJ720997:NJJ720998 NTF720997:NTF720998 ODB720997:ODB720998 OMX720997:OMX720998 OWT720997:OWT720998 PGP720997:PGP720998 PQL720997:PQL720998 QAH720997:QAH720998 QKD720997:QKD720998 QTZ720997:QTZ720998 RDV720997:RDV720998 RNR720997:RNR720998 RXN720997:RXN720998 SHJ720997:SHJ720998 SRF720997:SRF720998 TBB720997:TBB720998 TKX720997:TKX720998 TUT720997:TUT720998 UEP720997:UEP720998 UOL720997:UOL720998 UYH720997:UYH720998 VID720997:VID720998 VRZ720997:VRZ720998 WBV720997:WBV720998 WLR720997:WLR720998 WVN720997:WVN720998 F786533:F786534 JB786533:JB786534 SX786533:SX786534 ACT786533:ACT786534 AMP786533:AMP786534 AWL786533:AWL786534 BGH786533:BGH786534 BQD786533:BQD786534 BZZ786533:BZZ786534 CJV786533:CJV786534 CTR786533:CTR786534 DDN786533:DDN786534 DNJ786533:DNJ786534 DXF786533:DXF786534 EHB786533:EHB786534 EQX786533:EQX786534 FAT786533:FAT786534 FKP786533:FKP786534 FUL786533:FUL786534 GEH786533:GEH786534 GOD786533:GOD786534 GXZ786533:GXZ786534 HHV786533:HHV786534 HRR786533:HRR786534 IBN786533:IBN786534 ILJ786533:ILJ786534 IVF786533:IVF786534 JFB786533:JFB786534 JOX786533:JOX786534 JYT786533:JYT786534 KIP786533:KIP786534 KSL786533:KSL786534 LCH786533:LCH786534 LMD786533:LMD786534 LVZ786533:LVZ786534 MFV786533:MFV786534 MPR786533:MPR786534 MZN786533:MZN786534 NJJ786533:NJJ786534 NTF786533:NTF786534 ODB786533:ODB786534 OMX786533:OMX786534 OWT786533:OWT786534 PGP786533:PGP786534 PQL786533:PQL786534 QAH786533:QAH786534 QKD786533:QKD786534 QTZ786533:QTZ786534 RDV786533:RDV786534 RNR786533:RNR786534 RXN786533:RXN786534 SHJ786533:SHJ786534 SRF786533:SRF786534 TBB786533:TBB786534 TKX786533:TKX786534 TUT786533:TUT786534 UEP786533:UEP786534 UOL786533:UOL786534 UYH786533:UYH786534 VID786533:VID786534 VRZ786533:VRZ786534 WBV786533:WBV786534 WLR786533:WLR786534 WVN786533:WVN786534 F852069:F852070 JB852069:JB852070 SX852069:SX852070 ACT852069:ACT852070 AMP852069:AMP852070 AWL852069:AWL852070 BGH852069:BGH852070 BQD852069:BQD852070 BZZ852069:BZZ852070 CJV852069:CJV852070 CTR852069:CTR852070 DDN852069:DDN852070 DNJ852069:DNJ852070 DXF852069:DXF852070 EHB852069:EHB852070 EQX852069:EQX852070 FAT852069:FAT852070 FKP852069:FKP852070 FUL852069:FUL852070 GEH852069:GEH852070 GOD852069:GOD852070 GXZ852069:GXZ852070 HHV852069:HHV852070 HRR852069:HRR852070 IBN852069:IBN852070 ILJ852069:ILJ852070 IVF852069:IVF852070 JFB852069:JFB852070 JOX852069:JOX852070 JYT852069:JYT852070 KIP852069:KIP852070 KSL852069:KSL852070 LCH852069:LCH852070 LMD852069:LMD852070 LVZ852069:LVZ852070 MFV852069:MFV852070 MPR852069:MPR852070 MZN852069:MZN852070 NJJ852069:NJJ852070 NTF852069:NTF852070 ODB852069:ODB852070 OMX852069:OMX852070 OWT852069:OWT852070 PGP852069:PGP852070 PQL852069:PQL852070 QAH852069:QAH852070 QKD852069:QKD852070 QTZ852069:QTZ852070 RDV852069:RDV852070 RNR852069:RNR852070 RXN852069:RXN852070 SHJ852069:SHJ852070 SRF852069:SRF852070 TBB852069:TBB852070 TKX852069:TKX852070 TUT852069:TUT852070 UEP852069:UEP852070 UOL852069:UOL852070 UYH852069:UYH852070 VID852069:VID852070 VRZ852069:VRZ852070 WBV852069:WBV852070 WLR852069:WLR852070 WVN852069:WVN852070 F917605:F917606 JB917605:JB917606 SX917605:SX917606 ACT917605:ACT917606 AMP917605:AMP917606 AWL917605:AWL917606 BGH917605:BGH917606 BQD917605:BQD917606 BZZ917605:BZZ917606 CJV917605:CJV917606 CTR917605:CTR917606 DDN917605:DDN917606 DNJ917605:DNJ917606 DXF917605:DXF917606 EHB917605:EHB917606 EQX917605:EQX917606 FAT917605:FAT917606 FKP917605:FKP917606 FUL917605:FUL917606 GEH917605:GEH917606 GOD917605:GOD917606 GXZ917605:GXZ917606 HHV917605:HHV917606 HRR917605:HRR917606 IBN917605:IBN917606 ILJ917605:ILJ917606 IVF917605:IVF917606 JFB917605:JFB917606 JOX917605:JOX917606 JYT917605:JYT917606 KIP917605:KIP917606 KSL917605:KSL917606 LCH917605:LCH917606 LMD917605:LMD917606 LVZ917605:LVZ917606 MFV917605:MFV917606 MPR917605:MPR917606 MZN917605:MZN917606 NJJ917605:NJJ917606 NTF917605:NTF917606 ODB917605:ODB917606 OMX917605:OMX917606 OWT917605:OWT917606 PGP917605:PGP917606 PQL917605:PQL917606 QAH917605:QAH917606 QKD917605:QKD917606 QTZ917605:QTZ917606 RDV917605:RDV917606 RNR917605:RNR917606 RXN917605:RXN917606 SHJ917605:SHJ917606 SRF917605:SRF917606 TBB917605:TBB917606 TKX917605:TKX917606 TUT917605:TUT917606 UEP917605:UEP917606 UOL917605:UOL917606 UYH917605:UYH917606 VID917605:VID917606 VRZ917605:VRZ917606 WBV917605:WBV917606 WLR917605:WLR917606 WVN917605:WVN917606 F983141:F983142 JB983141:JB983142 SX983141:SX983142 ACT983141:ACT983142 AMP983141:AMP983142 AWL983141:AWL983142 BGH983141:BGH983142 BQD983141:BQD983142 BZZ983141:BZZ983142 CJV983141:CJV983142 CTR983141:CTR983142 DDN983141:DDN983142 DNJ983141:DNJ983142 DXF983141:DXF983142 EHB983141:EHB983142 EQX983141:EQX983142 FAT983141:FAT983142 FKP983141:FKP983142 FUL983141:FUL983142 GEH983141:GEH983142 GOD983141:GOD983142 GXZ983141:GXZ983142 HHV983141:HHV983142 HRR983141:HRR983142 IBN983141:IBN983142 ILJ983141:ILJ983142 IVF983141:IVF983142 JFB983141:JFB983142 JOX983141:JOX983142 JYT983141:JYT983142 KIP983141:KIP983142 KSL983141:KSL983142 LCH983141:LCH983142 LMD983141:LMD983142 LVZ983141:LVZ983142 MFV983141:MFV983142 MPR983141:MPR983142 MZN983141:MZN983142 NJJ983141:NJJ983142 NTF983141:NTF983142 ODB983141:ODB983142 OMX983141:OMX983142 OWT983141:OWT983142 PGP983141:PGP983142 PQL983141:PQL983142 QAH983141:QAH983142 QKD983141:QKD983142 QTZ983141:QTZ983142 RDV983141:RDV983142 RNR983141:RNR983142 RXN983141:RXN983142 SHJ983141:SHJ983142 SRF983141:SRF983142 TBB983141:TBB983142 TKX983141:TKX983142 TUT983141:TUT983142 UEP983141:UEP983142 UOL983141:UOL983142 UYH983141:UYH983142 VID983141:VID983142 VRZ983141:VRZ983142 WBV983141:WBV983142 WLR983141:WLR983142 WVN983141:WVN983142 ERG71:ERG77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WLX102 WVT102 L65637 JH65637 TD65637 ACZ65637 AMV65637 AWR65637 BGN65637 BQJ65637 CAF65637 CKB65637 CTX65637 DDT65637 DNP65637 DXL65637 EHH65637 ERD65637 FAZ65637 FKV65637 FUR65637 GEN65637 GOJ65637 GYF65637 HIB65637 HRX65637 IBT65637 ILP65637 IVL65637 JFH65637 JPD65637 JYZ65637 KIV65637 KSR65637 LCN65637 LMJ65637 LWF65637 MGB65637 MPX65637 MZT65637 NJP65637 NTL65637 ODH65637 OND65637 OWZ65637 PGV65637 PQR65637 QAN65637 QKJ65637 QUF65637 REB65637 RNX65637 RXT65637 SHP65637 SRL65637 TBH65637 TLD65637 TUZ65637 UEV65637 UOR65637 UYN65637 VIJ65637 VSF65637 WCB65637 WLX65637 WVT65637 L131173 JH131173 TD131173 ACZ131173 AMV131173 AWR131173 BGN131173 BQJ131173 CAF131173 CKB131173 CTX131173 DDT131173 DNP131173 DXL131173 EHH131173 ERD131173 FAZ131173 FKV131173 FUR131173 GEN131173 GOJ131173 GYF131173 HIB131173 HRX131173 IBT131173 ILP131173 IVL131173 JFH131173 JPD131173 JYZ131173 KIV131173 KSR131173 LCN131173 LMJ131173 LWF131173 MGB131173 MPX131173 MZT131173 NJP131173 NTL131173 ODH131173 OND131173 OWZ131173 PGV131173 PQR131173 QAN131173 QKJ131173 QUF131173 REB131173 RNX131173 RXT131173 SHP131173 SRL131173 TBH131173 TLD131173 TUZ131173 UEV131173 UOR131173 UYN131173 VIJ131173 VSF131173 WCB131173 WLX131173 WVT131173 L196709 JH196709 TD196709 ACZ196709 AMV196709 AWR196709 BGN196709 BQJ196709 CAF196709 CKB196709 CTX196709 DDT196709 DNP196709 DXL196709 EHH196709 ERD196709 FAZ196709 FKV196709 FUR196709 GEN196709 GOJ196709 GYF196709 HIB196709 HRX196709 IBT196709 ILP196709 IVL196709 JFH196709 JPD196709 JYZ196709 KIV196709 KSR196709 LCN196709 LMJ196709 LWF196709 MGB196709 MPX196709 MZT196709 NJP196709 NTL196709 ODH196709 OND196709 OWZ196709 PGV196709 PQR196709 QAN196709 QKJ196709 QUF196709 REB196709 RNX196709 RXT196709 SHP196709 SRL196709 TBH196709 TLD196709 TUZ196709 UEV196709 UOR196709 UYN196709 VIJ196709 VSF196709 WCB196709 WLX196709 WVT196709 L262245 JH262245 TD262245 ACZ262245 AMV262245 AWR262245 BGN262245 BQJ262245 CAF262245 CKB262245 CTX262245 DDT262245 DNP262245 DXL262245 EHH262245 ERD262245 FAZ262245 FKV262245 FUR262245 GEN262245 GOJ262245 GYF262245 HIB262245 HRX262245 IBT262245 ILP262245 IVL262245 JFH262245 JPD262245 JYZ262245 KIV262245 KSR262245 LCN262245 LMJ262245 LWF262245 MGB262245 MPX262245 MZT262245 NJP262245 NTL262245 ODH262245 OND262245 OWZ262245 PGV262245 PQR262245 QAN262245 QKJ262245 QUF262245 REB262245 RNX262245 RXT262245 SHP262245 SRL262245 TBH262245 TLD262245 TUZ262245 UEV262245 UOR262245 UYN262245 VIJ262245 VSF262245 WCB262245 WLX262245 WVT262245 L327781 JH327781 TD327781 ACZ327781 AMV327781 AWR327781 BGN327781 BQJ327781 CAF327781 CKB327781 CTX327781 DDT327781 DNP327781 DXL327781 EHH327781 ERD327781 FAZ327781 FKV327781 FUR327781 GEN327781 GOJ327781 GYF327781 HIB327781 HRX327781 IBT327781 ILP327781 IVL327781 JFH327781 JPD327781 JYZ327781 KIV327781 KSR327781 LCN327781 LMJ327781 LWF327781 MGB327781 MPX327781 MZT327781 NJP327781 NTL327781 ODH327781 OND327781 OWZ327781 PGV327781 PQR327781 QAN327781 QKJ327781 QUF327781 REB327781 RNX327781 RXT327781 SHP327781 SRL327781 TBH327781 TLD327781 TUZ327781 UEV327781 UOR327781 UYN327781 VIJ327781 VSF327781 WCB327781 WLX327781 WVT327781 L393317 JH393317 TD393317 ACZ393317 AMV393317 AWR393317 BGN393317 BQJ393317 CAF393317 CKB393317 CTX393317 DDT393317 DNP393317 DXL393317 EHH393317 ERD393317 FAZ393317 FKV393317 FUR393317 GEN393317 GOJ393317 GYF393317 HIB393317 HRX393317 IBT393317 ILP393317 IVL393317 JFH393317 JPD393317 JYZ393317 KIV393317 KSR393317 LCN393317 LMJ393317 LWF393317 MGB393317 MPX393317 MZT393317 NJP393317 NTL393317 ODH393317 OND393317 OWZ393317 PGV393317 PQR393317 QAN393317 QKJ393317 QUF393317 REB393317 RNX393317 RXT393317 SHP393317 SRL393317 TBH393317 TLD393317 TUZ393317 UEV393317 UOR393317 UYN393317 VIJ393317 VSF393317 WCB393317 WLX393317 WVT393317 L458853 JH458853 TD458853 ACZ458853 AMV458853 AWR458853 BGN458853 BQJ458853 CAF458853 CKB458853 CTX458853 DDT458853 DNP458853 DXL458853 EHH458853 ERD458853 FAZ458853 FKV458853 FUR458853 GEN458853 GOJ458853 GYF458853 HIB458853 HRX458853 IBT458853 ILP458853 IVL458853 JFH458853 JPD458853 JYZ458853 KIV458853 KSR458853 LCN458853 LMJ458853 LWF458853 MGB458853 MPX458853 MZT458853 NJP458853 NTL458853 ODH458853 OND458853 OWZ458853 PGV458853 PQR458853 QAN458853 QKJ458853 QUF458853 REB458853 RNX458853 RXT458853 SHP458853 SRL458853 TBH458853 TLD458853 TUZ458853 UEV458853 UOR458853 UYN458853 VIJ458853 VSF458853 WCB458853 WLX458853 WVT458853 L524389 JH524389 TD524389 ACZ524389 AMV524389 AWR524389 BGN524389 BQJ524389 CAF524389 CKB524389 CTX524389 DDT524389 DNP524389 DXL524389 EHH524389 ERD524389 FAZ524389 FKV524389 FUR524389 GEN524389 GOJ524389 GYF524389 HIB524389 HRX524389 IBT524389 ILP524389 IVL524389 JFH524389 JPD524389 JYZ524389 KIV524389 KSR524389 LCN524389 LMJ524389 LWF524389 MGB524389 MPX524389 MZT524389 NJP524389 NTL524389 ODH524389 OND524389 OWZ524389 PGV524389 PQR524389 QAN524389 QKJ524389 QUF524389 REB524389 RNX524389 RXT524389 SHP524389 SRL524389 TBH524389 TLD524389 TUZ524389 UEV524389 UOR524389 UYN524389 VIJ524389 VSF524389 WCB524389 WLX524389 WVT524389 L589925 JH589925 TD589925 ACZ589925 AMV589925 AWR589925 BGN589925 BQJ589925 CAF589925 CKB589925 CTX589925 DDT589925 DNP589925 DXL589925 EHH589925 ERD589925 FAZ589925 FKV589925 FUR589925 GEN589925 GOJ589925 GYF589925 HIB589925 HRX589925 IBT589925 ILP589925 IVL589925 JFH589925 JPD589925 JYZ589925 KIV589925 KSR589925 LCN589925 LMJ589925 LWF589925 MGB589925 MPX589925 MZT589925 NJP589925 NTL589925 ODH589925 OND589925 OWZ589925 PGV589925 PQR589925 QAN589925 QKJ589925 QUF589925 REB589925 RNX589925 RXT589925 SHP589925 SRL589925 TBH589925 TLD589925 TUZ589925 UEV589925 UOR589925 UYN589925 VIJ589925 VSF589925 WCB589925 WLX589925 WVT589925 L655461 JH655461 TD655461 ACZ655461 AMV655461 AWR655461 BGN655461 BQJ655461 CAF655461 CKB655461 CTX655461 DDT655461 DNP655461 DXL655461 EHH655461 ERD655461 FAZ655461 FKV655461 FUR655461 GEN655461 GOJ655461 GYF655461 HIB655461 HRX655461 IBT655461 ILP655461 IVL655461 JFH655461 JPD655461 JYZ655461 KIV655461 KSR655461 LCN655461 LMJ655461 LWF655461 MGB655461 MPX655461 MZT655461 NJP655461 NTL655461 ODH655461 OND655461 OWZ655461 PGV655461 PQR655461 QAN655461 QKJ655461 QUF655461 REB655461 RNX655461 RXT655461 SHP655461 SRL655461 TBH655461 TLD655461 TUZ655461 UEV655461 UOR655461 UYN655461 VIJ655461 VSF655461 WCB655461 WLX655461 WVT655461 L720997 JH720997 TD720997 ACZ720997 AMV720997 AWR720997 BGN720997 BQJ720997 CAF720997 CKB720997 CTX720997 DDT720997 DNP720997 DXL720997 EHH720997 ERD720997 FAZ720997 FKV720997 FUR720997 GEN720997 GOJ720997 GYF720997 HIB720997 HRX720997 IBT720997 ILP720997 IVL720997 JFH720997 JPD720997 JYZ720997 KIV720997 KSR720997 LCN720997 LMJ720997 LWF720997 MGB720997 MPX720997 MZT720997 NJP720997 NTL720997 ODH720997 OND720997 OWZ720997 PGV720997 PQR720997 QAN720997 QKJ720997 QUF720997 REB720997 RNX720997 RXT720997 SHP720997 SRL720997 TBH720997 TLD720997 TUZ720997 UEV720997 UOR720997 UYN720997 VIJ720997 VSF720997 WCB720997 WLX720997 WVT720997 L786533 JH786533 TD786533 ACZ786533 AMV786533 AWR786533 BGN786533 BQJ786533 CAF786533 CKB786533 CTX786533 DDT786533 DNP786533 DXL786533 EHH786533 ERD786533 FAZ786533 FKV786533 FUR786533 GEN786533 GOJ786533 GYF786533 HIB786533 HRX786533 IBT786533 ILP786533 IVL786533 JFH786533 JPD786533 JYZ786533 KIV786533 KSR786533 LCN786533 LMJ786533 LWF786533 MGB786533 MPX786533 MZT786533 NJP786533 NTL786533 ODH786533 OND786533 OWZ786533 PGV786533 PQR786533 QAN786533 QKJ786533 QUF786533 REB786533 RNX786533 RXT786533 SHP786533 SRL786533 TBH786533 TLD786533 TUZ786533 UEV786533 UOR786533 UYN786533 VIJ786533 VSF786533 WCB786533 WLX786533 WVT786533 L852069 JH852069 TD852069 ACZ852069 AMV852069 AWR852069 BGN852069 BQJ852069 CAF852069 CKB852069 CTX852069 DDT852069 DNP852069 DXL852069 EHH852069 ERD852069 FAZ852069 FKV852069 FUR852069 GEN852069 GOJ852069 GYF852069 HIB852069 HRX852069 IBT852069 ILP852069 IVL852069 JFH852069 JPD852069 JYZ852069 KIV852069 KSR852069 LCN852069 LMJ852069 LWF852069 MGB852069 MPX852069 MZT852069 NJP852069 NTL852069 ODH852069 OND852069 OWZ852069 PGV852069 PQR852069 QAN852069 QKJ852069 QUF852069 REB852069 RNX852069 RXT852069 SHP852069 SRL852069 TBH852069 TLD852069 TUZ852069 UEV852069 UOR852069 UYN852069 VIJ852069 VSF852069 WCB852069 WLX852069 WVT852069 L917605 JH917605 TD917605 ACZ917605 AMV917605 AWR917605 BGN917605 BQJ917605 CAF917605 CKB917605 CTX917605 DDT917605 DNP917605 DXL917605 EHH917605 ERD917605 FAZ917605 FKV917605 FUR917605 GEN917605 GOJ917605 GYF917605 HIB917605 HRX917605 IBT917605 ILP917605 IVL917605 JFH917605 JPD917605 JYZ917605 KIV917605 KSR917605 LCN917605 LMJ917605 LWF917605 MGB917605 MPX917605 MZT917605 NJP917605 NTL917605 ODH917605 OND917605 OWZ917605 PGV917605 PQR917605 QAN917605 QKJ917605 QUF917605 REB917605 RNX917605 RXT917605 SHP917605 SRL917605 TBH917605 TLD917605 TUZ917605 UEV917605 UOR917605 UYN917605 VIJ917605 VSF917605 WCB917605 WLX917605 WVT917605 L983141 JH983141 TD983141 ACZ983141 AMV983141 AWR983141 BGN983141 BQJ983141 CAF983141 CKB983141 CTX983141 DDT983141 DNP983141 DXL983141 EHH983141 ERD983141 FAZ983141 FKV983141 FUR983141 GEN983141 GOJ983141 GYF983141 HIB983141 HRX983141 IBT983141 ILP983141 IVL983141 JFH983141 JPD983141 JYZ983141 KIV983141 KSR983141 LCN983141 LMJ983141 LWF983141 MGB983141 MPX983141 MZT983141 NJP983141 NTL983141 ODH983141 OND983141 OWZ983141 PGV983141 PQR983141 QAN983141 QKJ983141 QUF983141 REB983141 RNX983141 RXT983141 SHP983141 SRL983141 TBH983141 TLD983141 TUZ983141 UEV983141 UOR983141 UYN983141 VIJ983141 VSF983141 WCB983141 WLX983141 WVT983141 EHK71:EHK77 JL102:JL103 TH102:TH103 ADD102:ADD103 AMZ102:AMZ103 AWV102:AWV103 BGR102:BGR103 BQN102:BQN103 CAJ102:CAJ103 CKF102:CKF103 CUB102:CUB103 DDX102:DDX103 DNT102:DNT103 DXP102:DXP103 EHL102:EHL103 ERH102:ERH103 FBD102:FBD103 FKZ102:FKZ103 FUV102:FUV103 GER102:GER103 GON102:GON103 GYJ102:GYJ103 HIF102:HIF103 HSB102:HSB103 IBX102:IBX103 ILT102:ILT103 IVP102:IVP103 JFL102:JFL103 JPH102:JPH103 JZD102:JZD103 KIZ102:KIZ103 KSV102:KSV103 LCR102:LCR103 LMN102:LMN103 LWJ102:LWJ103 MGF102:MGF103 MQB102:MQB103 MZX102:MZX103 NJT102:NJT103 NTP102:NTP103 ODL102:ODL103 ONH102:ONH103 OXD102:OXD103 PGZ102:PGZ103 PQV102:PQV103 QAR102:QAR103 QKN102:QKN103 QUJ102:QUJ103 REF102:REF103 ROB102:ROB103 RXX102:RXX103 SHT102:SHT103 SRP102:SRP103 TBL102:TBL103 TLH102:TLH103 TVD102:TVD103 UEZ102:UEZ103 UOV102:UOV103 UYR102:UYR103 VIN102:VIN103 VSJ102:VSJ103 WCF102:WCF103 WMB102:WMB103 WVX102:WVX103 P65637:P65638 JL65637:JL65638 TH65637:TH65638 ADD65637:ADD65638 AMZ65637:AMZ65638 AWV65637:AWV65638 BGR65637:BGR65638 BQN65637:BQN65638 CAJ65637:CAJ65638 CKF65637:CKF65638 CUB65637:CUB65638 DDX65637:DDX65638 DNT65637:DNT65638 DXP65637:DXP65638 EHL65637:EHL65638 ERH65637:ERH65638 FBD65637:FBD65638 FKZ65637:FKZ65638 FUV65637:FUV65638 GER65637:GER65638 GON65637:GON65638 GYJ65637:GYJ65638 HIF65637:HIF65638 HSB65637:HSB65638 IBX65637:IBX65638 ILT65637:ILT65638 IVP65637:IVP65638 JFL65637:JFL65638 JPH65637:JPH65638 JZD65637:JZD65638 KIZ65637:KIZ65638 KSV65637:KSV65638 LCR65637:LCR65638 LMN65637:LMN65638 LWJ65637:LWJ65638 MGF65637:MGF65638 MQB65637:MQB65638 MZX65637:MZX65638 NJT65637:NJT65638 NTP65637:NTP65638 ODL65637:ODL65638 ONH65637:ONH65638 OXD65637:OXD65638 PGZ65637:PGZ65638 PQV65637:PQV65638 QAR65637:QAR65638 QKN65637:QKN65638 QUJ65637:QUJ65638 REF65637:REF65638 ROB65637:ROB65638 RXX65637:RXX65638 SHT65637:SHT65638 SRP65637:SRP65638 TBL65637:TBL65638 TLH65637:TLH65638 TVD65637:TVD65638 UEZ65637:UEZ65638 UOV65637:UOV65638 UYR65637:UYR65638 VIN65637:VIN65638 VSJ65637:VSJ65638 WCF65637:WCF65638 WMB65637:WMB65638 WVX65637:WVX65638 P131173:P131174 JL131173:JL131174 TH131173:TH131174 ADD131173:ADD131174 AMZ131173:AMZ131174 AWV131173:AWV131174 BGR131173:BGR131174 BQN131173:BQN131174 CAJ131173:CAJ131174 CKF131173:CKF131174 CUB131173:CUB131174 DDX131173:DDX131174 DNT131173:DNT131174 DXP131173:DXP131174 EHL131173:EHL131174 ERH131173:ERH131174 FBD131173:FBD131174 FKZ131173:FKZ131174 FUV131173:FUV131174 GER131173:GER131174 GON131173:GON131174 GYJ131173:GYJ131174 HIF131173:HIF131174 HSB131173:HSB131174 IBX131173:IBX131174 ILT131173:ILT131174 IVP131173:IVP131174 JFL131173:JFL131174 JPH131173:JPH131174 JZD131173:JZD131174 KIZ131173:KIZ131174 KSV131173:KSV131174 LCR131173:LCR131174 LMN131173:LMN131174 LWJ131173:LWJ131174 MGF131173:MGF131174 MQB131173:MQB131174 MZX131173:MZX131174 NJT131173:NJT131174 NTP131173:NTP131174 ODL131173:ODL131174 ONH131173:ONH131174 OXD131173:OXD131174 PGZ131173:PGZ131174 PQV131173:PQV131174 QAR131173:QAR131174 QKN131173:QKN131174 QUJ131173:QUJ131174 REF131173:REF131174 ROB131173:ROB131174 RXX131173:RXX131174 SHT131173:SHT131174 SRP131173:SRP131174 TBL131173:TBL131174 TLH131173:TLH131174 TVD131173:TVD131174 UEZ131173:UEZ131174 UOV131173:UOV131174 UYR131173:UYR131174 VIN131173:VIN131174 VSJ131173:VSJ131174 WCF131173:WCF131174 WMB131173:WMB131174 WVX131173:WVX131174 P196709:P196710 JL196709:JL196710 TH196709:TH196710 ADD196709:ADD196710 AMZ196709:AMZ196710 AWV196709:AWV196710 BGR196709:BGR196710 BQN196709:BQN196710 CAJ196709:CAJ196710 CKF196709:CKF196710 CUB196709:CUB196710 DDX196709:DDX196710 DNT196709:DNT196710 DXP196709:DXP196710 EHL196709:EHL196710 ERH196709:ERH196710 FBD196709:FBD196710 FKZ196709:FKZ196710 FUV196709:FUV196710 GER196709:GER196710 GON196709:GON196710 GYJ196709:GYJ196710 HIF196709:HIF196710 HSB196709:HSB196710 IBX196709:IBX196710 ILT196709:ILT196710 IVP196709:IVP196710 JFL196709:JFL196710 JPH196709:JPH196710 JZD196709:JZD196710 KIZ196709:KIZ196710 KSV196709:KSV196710 LCR196709:LCR196710 LMN196709:LMN196710 LWJ196709:LWJ196710 MGF196709:MGF196710 MQB196709:MQB196710 MZX196709:MZX196710 NJT196709:NJT196710 NTP196709:NTP196710 ODL196709:ODL196710 ONH196709:ONH196710 OXD196709:OXD196710 PGZ196709:PGZ196710 PQV196709:PQV196710 QAR196709:QAR196710 QKN196709:QKN196710 QUJ196709:QUJ196710 REF196709:REF196710 ROB196709:ROB196710 RXX196709:RXX196710 SHT196709:SHT196710 SRP196709:SRP196710 TBL196709:TBL196710 TLH196709:TLH196710 TVD196709:TVD196710 UEZ196709:UEZ196710 UOV196709:UOV196710 UYR196709:UYR196710 VIN196709:VIN196710 VSJ196709:VSJ196710 WCF196709:WCF196710 WMB196709:WMB196710 WVX196709:WVX196710 P262245:P262246 JL262245:JL262246 TH262245:TH262246 ADD262245:ADD262246 AMZ262245:AMZ262246 AWV262245:AWV262246 BGR262245:BGR262246 BQN262245:BQN262246 CAJ262245:CAJ262246 CKF262245:CKF262246 CUB262245:CUB262246 DDX262245:DDX262246 DNT262245:DNT262246 DXP262245:DXP262246 EHL262245:EHL262246 ERH262245:ERH262246 FBD262245:FBD262246 FKZ262245:FKZ262246 FUV262245:FUV262246 GER262245:GER262246 GON262245:GON262246 GYJ262245:GYJ262246 HIF262245:HIF262246 HSB262245:HSB262246 IBX262245:IBX262246 ILT262245:ILT262246 IVP262245:IVP262246 JFL262245:JFL262246 JPH262245:JPH262246 JZD262245:JZD262246 KIZ262245:KIZ262246 KSV262245:KSV262246 LCR262245:LCR262246 LMN262245:LMN262246 LWJ262245:LWJ262246 MGF262245:MGF262246 MQB262245:MQB262246 MZX262245:MZX262246 NJT262245:NJT262246 NTP262245:NTP262246 ODL262245:ODL262246 ONH262245:ONH262246 OXD262245:OXD262246 PGZ262245:PGZ262246 PQV262245:PQV262246 QAR262245:QAR262246 QKN262245:QKN262246 QUJ262245:QUJ262246 REF262245:REF262246 ROB262245:ROB262246 RXX262245:RXX262246 SHT262245:SHT262246 SRP262245:SRP262246 TBL262245:TBL262246 TLH262245:TLH262246 TVD262245:TVD262246 UEZ262245:UEZ262246 UOV262245:UOV262246 UYR262245:UYR262246 VIN262245:VIN262246 VSJ262245:VSJ262246 WCF262245:WCF262246 WMB262245:WMB262246 WVX262245:WVX262246 P327781:P327782 JL327781:JL327782 TH327781:TH327782 ADD327781:ADD327782 AMZ327781:AMZ327782 AWV327781:AWV327782 BGR327781:BGR327782 BQN327781:BQN327782 CAJ327781:CAJ327782 CKF327781:CKF327782 CUB327781:CUB327782 DDX327781:DDX327782 DNT327781:DNT327782 DXP327781:DXP327782 EHL327781:EHL327782 ERH327781:ERH327782 FBD327781:FBD327782 FKZ327781:FKZ327782 FUV327781:FUV327782 GER327781:GER327782 GON327781:GON327782 GYJ327781:GYJ327782 HIF327781:HIF327782 HSB327781:HSB327782 IBX327781:IBX327782 ILT327781:ILT327782 IVP327781:IVP327782 JFL327781:JFL327782 JPH327781:JPH327782 JZD327781:JZD327782 KIZ327781:KIZ327782 KSV327781:KSV327782 LCR327781:LCR327782 LMN327781:LMN327782 LWJ327781:LWJ327782 MGF327781:MGF327782 MQB327781:MQB327782 MZX327781:MZX327782 NJT327781:NJT327782 NTP327781:NTP327782 ODL327781:ODL327782 ONH327781:ONH327782 OXD327781:OXD327782 PGZ327781:PGZ327782 PQV327781:PQV327782 QAR327781:QAR327782 QKN327781:QKN327782 QUJ327781:QUJ327782 REF327781:REF327782 ROB327781:ROB327782 RXX327781:RXX327782 SHT327781:SHT327782 SRP327781:SRP327782 TBL327781:TBL327782 TLH327781:TLH327782 TVD327781:TVD327782 UEZ327781:UEZ327782 UOV327781:UOV327782 UYR327781:UYR327782 VIN327781:VIN327782 VSJ327781:VSJ327782 WCF327781:WCF327782 WMB327781:WMB327782 WVX327781:WVX327782 P393317:P393318 JL393317:JL393318 TH393317:TH393318 ADD393317:ADD393318 AMZ393317:AMZ393318 AWV393317:AWV393318 BGR393317:BGR393318 BQN393317:BQN393318 CAJ393317:CAJ393318 CKF393317:CKF393318 CUB393317:CUB393318 DDX393317:DDX393318 DNT393317:DNT393318 DXP393317:DXP393318 EHL393317:EHL393318 ERH393317:ERH393318 FBD393317:FBD393318 FKZ393317:FKZ393318 FUV393317:FUV393318 GER393317:GER393318 GON393317:GON393318 GYJ393317:GYJ393318 HIF393317:HIF393318 HSB393317:HSB393318 IBX393317:IBX393318 ILT393317:ILT393318 IVP393317:IVP393318 JFL393317:JFL393318 JPH393317:JPH393318 JZD393317:JZD393318 KIZ393317:KIZ393318 KSV393317:KSV393318 LCR393317:LCR393318 LMN393317:LMN393318 LWJ393317:LWJ393318 MGF393317:MGF393318 MQB393317:MQB393318 MZX393317:MZX393318 NJT393317:NJT393318 NTP393317:NTP393318 ODL393317:ODL393318 ONH393317:ONH393318 OXD393317:OXD393318 PGZ393317:PGZ393318 PQV393317:PQV393318 QAR393317:QAR393318 QKN393317:QKN393318 QUJ393317:QUJ393318 REF393317:REF393318 ROB393317:ROB393318 RXX393317:RXX393318 SHT393317:SHT393318 SRP393317:SRP393318 TBL393317:TBL393318 TLH393317:TLH393318 TVD393317:TVD393318 UEZ393317:UEZ393318 UOV393317:UOV393318 UYR393317:UYR393318 VIN393317:VIN393318 VSJ393317:VSJ393318 WCF393317:WCF393318 WMB393317:WMB393318 WVX393317:WVX393318 P458853:P458854 JL458853:JL458854 TH458853:TH458854 ADD458853:ADD458854 AMZ458853:AMZ458854 AWV458853:AWV458854 BGR458853:BGR458854 BQN458853:BQN458854 CAJ458853:CAJ458854 CKF458853:CKF458854 CUB458853:CUB458854 DDX458853:DDX458854 DNT458853:DNT458854 DXP458853:DXP458854 EHL458853:EHL458854 ERH458853:ERH458854 FBD458853:FBD458854 FKZ458853:FKZ458854 FUV458853:FUV458854 GER458853:GER458854 GON458853:GON458854 GYJ458853:GYJ458854 HIF458853:HIF458854 HSB458853:HSB458854 IBX458853:IBX458854 ILT458853:ILT458854 IVP458853:IVP458854 JFL458853:JFL458854 JPH458853:JPH458854 JZD458853:JZD458854 KIZ458853:KIZ458854 KSV458853:KSV458854 LCR458853:LCR458854 LMN458853:LMN458854 LWJ458853:LWJ458854 MGF458853:MGF458854 MQB458853:MQB458854 MZX458853:MZX458854 NJT458853:NJT458854 NTP458853:NTP458854 ODL458853:ODL458854 ONH458853:ONH458854 OXD458853:OXD458854 PGZ458853:PGZ458854 PQV458853:PQV458854 QAR458853:QAR458854 QKN458853:QKN458854 QUJ458853:QUJ458854 REF458853:REF458854 ROB458853:ROB458854 RXX458853:RXX458854 SHT458853:SHT458854 SRP458853:SRP458854 TBL458853:TBL458854 TLH458853:TLH458854 TVD458853:TVD458854 UEZ458853:UEZ458854 UOV458853:UOV458854 UYR458853:UYR458854 VIN458853:VIN458854 VSJ458853:VSJ458854 WCF458853:WCF458854 WMB458853:WMB458854 WVX458853:WVX458854 P524389:P524390 JL524389:JL524390 TH524389:TH524390 ADD524389:ADD524390 AMZ524389:AMZ524390 AWV524389:AWV524390 BGR524389:BGR524390 BQN524389:BQN524390 CAJ524389:CAJ524390 CKF524389:CKF524390 CUB524389:CUB524390 DDX524389:DDX524390 DNT524389:DNT524390 DXP524389:DXP524390 EHL524389:EHL524390 ERH524389:ERH524390 FBD524389:FBD524390 FKZ524389:FKZ524390 FUV524389:FUV524390 GER524389:GER524390 GON524389:GON524390 GYJ524389:GYJ524390 HIF524389:HIF524390 HSB524389:HSB524390 IBX524389:IBX524390 ILT524389:ILT524390 IVP524389:IVP524390 JFL524389:JFL524390 JPH524389:JPH524390 JZD524389:JZD524390 KIZ524389:KIZ524390 KSV524389:KSV524390 LCR524389:LCR524390 LMN524389:LMN524390 LWJ524389:LWJ524390 MGF524389:MGF524390 MQB524389:MQB524390 MZX524389:MZX524390 NJT524389:NJT524390 NTP524389:NTP524390 ODL524389:ODL524390 ONH524389:ONH524390 OXD524389:OXD524390 PGZ524389:PGZ524390 PQV524389:PQV524390 QAR524389:QAR524390 QKN524389:QKN524390 QUJ524389:QUJ524390 REF524389:REF524390 ROB524389:ROB524390 RXX524389:RXX524390 SHT524389:SHT524390 SRP524389:SRP524390 TBL524389:TBL524390 TLH524389:TLH524390 TVD524389:TVD524390 UEZ524389:UEZ524390 UOV524389:UOV524390 UYR524389:UYR524390 VIN524389:VIN524390 VSJ524389:VSJ524390 WCF524389:WCF524390 WMB524389:WMB524390 WVX524389:WVX524390 P589925:P589926 JL589925:JL589926 TH589925:TH589926 ADD589925:ADD589926 AMZ589925:AMZ589926 AWV589925:AWV589926 BGR589925:BGR589926 BQN589925:BQN589926 CAJ589925:CAJ589926 CKF589925:CKF589926 CUB589925:CUB589926 DDX589925:DDX589926 DNT589925:DNT589926 DXP589925:DXP589926 EHL589925:EHL589926 ERH589925:ERH589926 FBD589925:FBD589926 FKZ589925:FKZ589926 FUV589925:FUV589926 GER589925:GER589926 GON589925:GON589926 GYJ589925:GYJ589926 HIF589925:HIF589926 HSB589925:HSB589926 IBX589925:IBX589926 ILT589925:ILT589926 IVP589925:IVP589926 JFL589925:JFL589926 JPH589925:JPH589926 JZD589925:JZD589926 KIZ589925:KIZ589926 KSV589925:KSV589926 LCR589925:LCR589926 LMN589925:LMN589926 LWJ589925:LWJ589926 MGF589925:MGF589926 MQB589925:MQB589926 MZX589925:MZX589926 NJT589925:NJT589926 NTP589925:NTP589926 ODL589925:ODL589926 ONH589925:ONH589926 OXD589925:OXD589926 PGZ589925:PGZ589926 PQV589925:PQV589926 QAR589925:QAR589926 QKN589925:QKN589926 QUJ589925:QUJ589926 REF589925:REF589926 ROB589925:ROB589926 RXX589925:RXX589926 SHT589925:SHT589926 SRP589925:SRP589926 TBL589925:TBL589926 TLH589925:TLH589926 TVD589925:TVD589926 UEZ589925:UEZ589926 UOV589925:UOV589926 UYR589925:UYR589926 VIN589925:VIN589926 VSJ589925:VSJ589926 WCF589925:WCF589926 WMB589925:WMB589926 WVX589925:WVX589926 P655461:P655462 JL655461:JL655462 TH655461:TH655462 ADD655461:ADD655462 AMZ655461:AMZ655462 AWV655461:AWV655462 BGR655461:BGR655462 BQN655461:BQN655462 CAJ655461:CAJ655462 CKF655461:CKF655462 CUB655461:CUB655462 DDX655461:DDX655462 DNT655461:DNT655462 DXP655461:DXP655462 EHL655461:EHL655462 ERH655461:ERH655462 FBD655461:FBD655462 FKZ655461:FKZ655462 FUV655461:FUV655462 GER655461:GER655462 GON655461:GON655462 GYJ655461:GYJ655462 HIF655461:HIF655462 HSB655461:HSB655462 IBX655461:IBX655462 ILT655461:ILT655462 IVP655461:IVP655462 JFL655461:JFL655462 JPH655461:JPH655462 JZD655461:JZD655462 KIZ655461:KIZ655462 KSV655461:KSV655462 LCR655461:LCR655462 LMN655461:LMN655462 LWJ655461:LWJ655462 MGF655461:MGF655462 MQB655461:MQB655462 MZX655461:MZX655462 NJT655461:NJT655462 NTP655461:NTP655462 ODL655461:ODL655462 ONH655461:ONH655462 OXD655461:OXD655462 PGZ655461:PGZ655462 PQV655461:PQV655462 QAR655461:QAR655462 QKN655461:QKN655462 QUJ655461:QUJ655462 REF655461:REF655462 ROB655461:ROB655462 RXX655461:RXX655462 SHT655461:SHT655462 SRP655461:SRP655462 TBL655461:TBL655462 TLH655461:TLH655462 TVD655461:TVD655462 UEZ655461:UEZ655462 UOV655461:UOV655462 UYR655461:UYR655462 VIN655461:VIN655462 VSJ655461:VSJ655462 WCF655461:WCF655462 WMB655461:WMB655462 WVX655461:WVX655462 P720997:P720998 JL720997:JL720998 TH720997:TH720998 ADD720997:ADD720998 AMZ720997:AMZ720998 AWV720997:AWV720998 BGR720997:BGR720998 BQN720997:BQN720998 CAJ720997:CAJ720998 CKF720997:CKF720998 CUB720997:CUB720998 DDX720997:DDX720998 DNT720997:DNT720998 DXP720997:DXP720998 EHL720997:EHL720998 ERH720997:ERH720998 FBD720997:FBD720998 FKZ720997:FKZ720998 FUV720997:FUV720998 GER720997:GER720998 GON720997:GON720998 GYJ720997:GYJ720998 HIF720997:HIF720998 HSB720997:HSB720998 IBX720997:IBX720998 ILT720997:ILT720998 IVP720997:IVP720998 JFL720997:JFL720998 JPH720997:JPH720998 JZD720997:JZD720998 KIZ720997:KIZ720998 KSV720997:KSV720998 LCR720997:LCR720998 LMN720997:LMN720998 LWJ720997:LWJ720998 MGF720997:MGF720998 MQB720997:MQB720998 MZX720997:MZX720998 NJT720997:NJT720998 NTP720997:NTP720998 ODL720997:ODL720998 ONH720997:ONH720998 OXD720997:OXD720998 PGZ720997:PGZ720998 PQV720997:PQV720998 QAR720997:QAR720998 QKN720997:QKN720998 QUJ720997:QUJ720998 REF720997:REF720998 ROB720997:ROB720998 RXX720997:RXX720998 SHT720997:SHT720998 SRP720997:SRP720998 TBL720997:TBL720998 TLH720997:TLH720998 TVD720997:TVD720998 UEZ720997:UEZ720998 UOV720997:UOV720998 UYR720997:UYR720998 VIN720997:VIN720998 VSJ720997:VSJ720998 WCF720997:WCF720998 WMB720997:WMB720998 WVX720997:WVX720998 P786533:P786534 JL786533:JL786534 TH786533:TH786534 ADD786533:ADD786534 AMZ786533:AMZ786534 AWV786533:AWV786534 BGR786533:BGR786534 BQN786533:BQN786534 CAJ786533:CAJ786534 CKF786533:CKF786534 CUB786533:CUB786534 DDX786533:DDX786534 DNT786533:DNT786534 DXP786533:DXP786534 EHL786533:EHL786534 ERH786533:ERH786534 FBD786533:FBD786534 FKZ786533:FKZ786534 FUV786533:FUV786534 GER786533:GER786534 GON786533:GON786534 GYJ786533:GYJ786534 HIF786533:HIF786534 HSB786533:HSB786534 IBX786533:IBX786534 ILT786533:ILT786534 IVP786533:IVP786534 JFL786533:JFL786534 JPH786533:JPH786534 JZD786533:JZD786534 KIZ786533:KIZ786534 KSV786533:KSV786534 LCR786533:LCR786534 LMN786533:LMN786534 LWJ786533:LWJ786534 MGF786533:MGF786534 MQB786533:MQB786534 MZX786533:MZX786534 NJT786533:NJT786534 NTP786533:NTP786534 ODL786533:ODL786534 ONH786533:ONH786534 OXD786533:OXD786534 PGZ786533:PGZ786534 PQV786533:PQV786534 QAR786533:QAR786534 QKN786533:QKN786534 QUJ786533:QUJ786534 REF786533:REF786534 ROB786533:ROB786534 RXX786533:RXX786534 SHT786533:SHT786534 SRP786533:SRP786534 TBL786533:TBL786534 TLH786533:TLH786534 TVD786533:TVD786534 UEZ786533:UEZ786534 UOV786533:UOV786534 UYR786533:UYR786534 VIN786533:VIN786534 VSJ786533:VSJ786534 WCF786533:WCF786534 WMB786533:WMB786534 WVX786533:WVX786534 P852069:P852070 JL852069:JL852070 TH852069:TH852070 ADD852069:ADD852070 AMZ852069:AMZ852070 AWV852069:AWV852070 BGR852069:BGR852070 BQN852069:BQN852070 CAJ852069:CAJ852070 CKF852069:CKF852070 CUB852069:CUB852070 DDX852069:DDX852070 DNT852069:DNT852070 DXP852069:DXP852070 EHL852069:EHL852070 ERH852069:ERH852070 FBD852069:FBD852070 FKZ852069:FKZ852070 FUV852069:FUV852070 GER852069:GER852070 GON852069:GON852070 GYJ852069:GYJ852070 HIF852069:HIF852070 HSB852069:HSB852070 IBX852069:IBX852070 ILT852069:ILT852070 IVP852069:IVP852070 JFL852069:JFL852070 JPH852069:JPH852070 JZD852069:JZD852070 KIZ852069:KIZ852070 KSV852069:KSV852070 LCR852069:LCR852070 LMN852069:LMN852070 LWJ852069:LWJ852070 MGF852069:MGF852070 MQB852069:MQB852070 MZX852069:MZX852070 NJT852069:NJT852070 NTP852069:NTP852070 ODL852069:ODL852070 ONH852069:ONH852070 OXD852069:OXD852070 PGZ852069:PGZ852070 PQV852069:PQV852070 QAR852069:QAR852070 QKN852069:QKN852070 QUJ852069:QUJ852070 REF852069:REF852070 ROB852069:ROB852070 RXX852069:RXX852070 SHT852069:SHT852070 SRP852069:SRP852070 TBL852069:TBL852070 TLH852069:TLH852070 TVD852069:TVD852070 UEZ852069:UEZ852070 UOV852069:UOV852070 UYR852069:UYR852070 VIN852069:VIN852070 VSJ852069:VSJ852070 WCF852069:WCF852070 WMB852069:WMB852070 WVX852069:WVX852070 P917605:P917606 JL917605:JL917606 TH917605:TH917606 ADD917605:ADD917606 AMZ917605:AMZ917606 AWV917605:AWV917606 BGR917605:BGR917606 BQN917605:BQN917606 CAJ917605:CAJ917606 CKF917605:CKF917606 CUB917605:CUB917606 DDX917605:DDX917606 DNT917605:DNT917606 DXP917605:DXP917606 EHL917605:EHL917606 ERH917605:ERH917606 FBD917605:FBD917606 FKZ917605:FKZ917606 FUV917605:FUV917606 GER917605:GER917606 GON917605:GON917606 GYJ917605:GYJ917606 HIF917605:HIF917606 HSB917605:HSB917606 IBX917605:IBX917606 ILT917605:ILT917606 IVP917605:IVP917606 JFL917605:JFL917606 JPH917605:JPH917606 JZD917605:JZD917606 KIZ917605:KIZ917606 KSV917605:KSV917606 LCR917605:LCR917606 LMN917605:LMN917606 LWJ917605:LWJ917606 MGF917605:MGF917606 MQB917605:MQB917606 MZX917605:MZX917606 NJT917605:NJT917606 NTP917605:NTP917606 ODL917605:ODL917606 ONH917605:ONH917606 OXD917605:OXD917606 PGZ917605:PGZ917606 PQV917605:PQV917606 QAR917605:QAR917606 QKN917605:QKN917606 QUJ917605:QUJ917606 REF917605:REF917606 ROB917605:ROB917606 RXX917605:RXX917606 SHT917605:SHT917606 SRP917605:SRP917606 TBL917605:TBL917606 TLH917605:TLH917606 TVD917605:TVD917606 UEZ917605:UEZ917606 UOV917605:UOV917606 UYR917605:UYR917606 VIN917605:VIN917606 VSJ917605:VSJ917606 WCF917605:WCF917606 WMB917605:WMB917606 WVX917605:WVX917606 P983141:P983142 JL983141:JL983142 TH983141:TH983142 ADD983141:ADD983142 AMZ983141:AMZ983142 AWV983141:AWV983142 BGR983141:BGR983142 BQN983141:BQN983142 CAJ983141:CAJ983142 CKF983141:CKF983142 CUB983141:CUB983142 DDX983141:DDX983142 DNT983141:DNT983142 DXP983141:DXP983142 EHL983141:EHL983142 ERH983141:ERH983142 FBD983141:FBD983142 FKZ983141:FKZ983142 FUV983141:FUV983142 GER983141:GER983142 GON983141:GON983142 GYJ983141:GYJ983142 HIF983141:HIF983142 HSB983141:HSB983142 IBX983141:IBX983142 ILT983141:ILT983142 IVP983141:IVP983142 JFL983141:JFL983142 JPH983141:JPH983142 JZD983141:JZD983142 KIZ983141:KIZ983142 KSV983141:KSV983142 LCR983141:LCR983142 LMN983141:LMN983142 LWJ983141:LWJ983142 MGF983141:MGF983142 MQB983141:MQB983142 MZX983141:MZX983142 NJT983141:NJT983142 NTP983141:NTP983142 ODL983141:ODL983142 ONH983141:ONH983142 OXD983141:OXD983142 PGZ983141:PGZ983142 PQV983141:PQV983142 QAR983141:QAR983142 QKN983141:QKN983142 QUJ983141:QUJ983142 REF983141:REF983142 ROB983141:ROB983142 RXX983141:RXX983142 SHT983141:SHT983142 SRP983141:SRP983142 TBL983141:TBL983142 TLH983141:TLH983142 TVD983141:TVD983142 UEZ983141:UEZ983142 UOV983141:UOV983142 UYR983141:UYR983142 VIN983141:VIN983142 VSJ983141:VSJ983142 WCF983141:WCF983142 WMB983141:WMB983142 WVX983141:WVX983142 ADK105:ADK107 W65640:W65643 JS65640:JS65643 TO65640:TO65643 ADK65640:ADK65643 ANG65640:ANG65643 AXC65640:AXC65643 BGY65640:BGY65643 BQU65640:BQU65643 CAQ65640:CAQ65643 CKM65640:CKM65643 CUI65640:CUI65643 DEE65640:DEE65643 DOA65640:DOA65643 DXW65640:DXW65643 EHS65640:EHS65643 ERO65640:ERO65643 FBK65640:FBK65643 FLG65640:FLG65643 FVC65640:FVC65643 GEY65640:GEY65643 GOU65640:GOU65643 GYQ65640:GYQ65643 HIM65640:HIM65643 HSI65640:HSI65643 ICE65640:ICE65643 IMA65640:IMA65643 IVW65640:IVW65643 JFS65640:JFS65643 JPO65640:JPO65643 JZK65640:JZK65643 KJG65640:KJG65643 KTC65640:KTC65643 LCY65640:LCY65643 LMU65640:LMU65643 LWQ65640:LWQ65643 MGM65640:MGM65643 MQI65640:MQI65643 NAE65640:NAE65643 NKA65640:NKA65643 NTW65640:NTW65643 ODS65640:ODS65643 ONO65640:ONO65643 OXK65640:OXK65643 PHG65640:PHG65643 PRC65640:PRC65643 QAY65640:QAY65643 QKU65640:QKU65643 QUQ65640:QUQ65643 REM65640:REM65643 ROI65640:ROI65643 RYE65640:RYE65643 SIA65640:SIA65643 SRW65640:SRW65643 TBS65640:TBS65643 TLO65640:TLO65643 TVK65640:TVK65643 UFG65640:UFG65643 UPC65640:UPC65643 UYY65640:UYY65643 VIU65640:VIU65643 VSQ65640:VSQ65643 WCM65640:WCM65643 WMI65640:WMI65643 WWE65640:WWE65643 W131176:W131179 JS131176:JS131179 TO131176:TO131179 ADK131176:ADK131179 ANG131176:ANG131179 AXC131176:AXC131179 BGY131176:BGY131179 BQU131176:BQU131179 CAQ131176:CAQ131179 CKM131176:CKM131179 CUI131176:CUI131179 DEE131176:DEE131179 DOA131176:DOA131179 DXW131176:DXW131179 EHS131176:EHS131179 ERO131176:ERO131179 FBK131176:FBK131179 FLG131176:FLG131179 FVC131176:FVC131179 GEY131176:GEY131179 GOU131176:GOU131179 GYQ131176:GYQ131179 HIM131176:HIM131179 HSI131176:HSI131179 ICE131176:ICE131179 IMA131176:IMA131179 IVW131176:IVW131179 JFS131176:JFS131179 JPO131176:JPO131179 JZK131176:JZK131179 KJG131176:KJG131179 KTC131176:KTC131179 LCY131176:LCY131179 LMU131176:LMU131179 LWQ131176:LWQ131179 MGM131176:MGM131179 MQI131176:MQI131179 NAE131176:NAE131179 NKA131176:NKA131179 NTW131176:NTW131179 ODS131176:ODS131179 ONO131176:ONO131179 OXK131176:OXK131179 PHG131176:PHG131179 PRC131176:PRC131179 QAY131176:QAY131179 QKU131176:QKU131179 QUQ131176:QUQ131179 REM131176:REM131179 ROI131176:ROI131179 RYE131176:RYE131179 SIA131176:SIA131179 SRW131176:SRW131179 TBS131176:TBS131179 TLO131176:TLO131179 TVK131176:TVK131179 UFG131176:UFG131179 UPC131176:UPC131179 UYY131176:UYY131179 VIU131176:VIU131179 VSQ131176:VSQ131179 WCM131176:WCM131179 WMI131176:WMI131179 WWE131176:WWE131179 W196712:W196715 JS196712:JS196715 TO196712:TO196715 ADK196712:ADK196715 ANG196712:ANG196715 AXC196712:AXC196715 BGY196712:BGY196715 BQU196712:BQU196715 CAQ196712:CAQ196715 CKM196712:CKM196715 CUI196712:CUI196715 DEE196712:DEE196715 DOA196712:DOA196715 DXW196712:DXW196715 EHS196712:EHS196715 ERO196712:ERO196715 FBK196712:FBK196715 FLG196712:FLG196715 FVC196712:FVC196715 GEY196712:GEY196715 GOU196712:GOU196715 GYQ196712:GYQ196715 HIM196712:HIM196715 HSI196712:HSI196715 ICE196712:ICE196715 IMA196712:IMA196715 IVW196712:IVW196715 JFS196712:JFS196715 JPO196712:JPO196715 JZK196712:JZK196715 KJG196712:KJG196715 KTC196712:KTC196715 LCY196712:LCY196715 LMU196712:LMU196715 LWQ196712:LWQ196715 MGM196712:MGM196715 MQI196712:MQI196715 NAE196712:NAE196715 NKA196712:NKA196715 NTW196712:NTW196715 ODS196712:ODS196715 ONO196712:ONO196715 OXK196712:OXK196715 PHG196712:PHG196715 PRC196712:PRC196715 QAY196712:QAY196715 QKU196712:QKU196715 QUQ196712:QUQ196715 REM196712:REM196715 ROI196712:ROI196715 RYE196712:RYE196715 SIA196712:SIA196715 SRW196712:SRW196715 TBS196712:TBS196715 TLO196712:TLO196715 TVK196712:TVK196715 UFG196712:UFG196715 UPC196712:UPC196715 UYY196712:UYY196715 VIU196712:VIU196715 VSQ196712:VSQ196715 WCM196712:WCM196715 WMI196712:WMI196715 WWE196712:WWE196715 W262248:W262251 JS262248:JS262251 TO262248:TO262251 ADK262248:ADK262251 ANG262248:ANG262251 AXC262248:AXC262251 BGY262248:BGY262251 BQU262248:BQU262251 CAQ262248:CAQ262251 CKM262248:CKM262251 CUI262248:CUI262251 DEE262248:DEE262251 DOA262248:DOA262251 DXW262248:DXW262251 EHS262248:EHS262251 ERO262248:ERO262251 FBK262248:FBK262251 FLG262248:FLG262251 FVC262248:FVC262251 GEY262248:GEY262251 GOU262248:GOU262251 GYQ262248:GYQ262251 HIM262248:HIM262251 HSI262248:HSI262251 ICE262248:ICE262251 IMA262248:IMA262251 IVW262248:IVW262251 JFS262248:JFS262251 JPO262248:JPO262251 JZK262248:JZK262251 KJG262248:KJG262251 KTC262248:KTC262251 LCY262248:LCY262251 LMU262248:LMU262251 LWQ262248:LWQ262251 MGM262248:MGM262251 MQI262248:MQI262251 NAE262248:NAE262251 NKA262248:NKA262251 NTW262248:NTW262251 ODS262248:ODS262251 ONO262248:ONO262251 OXK262248:OXK262251 PHG262248:PHG262251 PRC262248:PRC262251 QAY262248:QAY262251 QKU262248:QKU262251 QUQ262248:QUQ262251 REM262248:REM262251 ROI262248:ROI262251 RYE262248:RYE262251 SIA262248:SIA262251 SRW262248:SRW262251 TBS262248:TBS262251 TLO262248:TLO262251 TVK262248:TVK262251 UFG262248:UFG262251 UPC262248:UPC262251 UYY262248:UYY262251 VIU262248:VIU262251 VSQ262248:VSQ262251 WCM262248:WCM262251 WMI262248:WMI262251 WWE262248:WWE262251 W327784:W327787 JS327784:JS327787 TO327784:TO327787 ADK327784:ADK327787 ANG327784:ANG327787 AXC327784:AXC327787 BGY327784:BGY327787 BQU327784:BQU327787 CAQ327784:CAQ327787 CKM327784:CKM327787 CUI327784:CUI327787 DEE327784:DEE327787 DOA327784:DOA327787 DXW327784:DXW327787 EHS327784:EHS327787 ERO327784:ERO327787 FBK327784:FBK327787 FLG327784:FLG327787 FVC327784:FVC327787 GEY327784:GEY327787 GOU327784:GOU327787 GYQ327784:GYQ327787 HIM327784:HIM327787 HSI327784:HSI327787 ICE327784:ICE327787 IMA327784:IMA327787 IVW327784:IVW327787 JFS327784:JFS327787 JPO327784:JPO327787 JZK327784:JZK327787 KJG327784:KJG327787 KTC327784:KTC327787 LCY327784:LCY327787 LMU327784:LMU327787 LWQ327784:LWQ327787 MGM327784:MGM327787 MQI327784:MQI327787 NAE327784:NAE327787 NKA327784:NKA327787 NTW327784:NTW327787 ODS327784:ODS327787 ONO327784:ONO327787 OXK327784:OXK327787 PHG327784:PHG327787 PRC327784:PRC327787 QAY327784:QAY327787 QKU327784:QKU327787 QUQ327784:QUQ327787 REM327784:REM327787 ROI327784:ROI327787 RYE327784:RYE327787 SIA327784:SIA327787 SRW327784:SRW327787 TBS327784:TBS327787 TLO327784:TLO327787 TVK327784:TVK327787 UFG327784:UFG327787 UPC327784:UPC327787 UYY327784:UYY327787 VIU327784:VIU327787 VSQ327784:VSQ327787 WCM327784:WCM327787 WMI327784:WMI327787 WWE327784:WWE327787 W393320:W393323 JS393320:JS393323 TO393320:TO393323 ADK393320:ADK393323 ANG393320:ANG393323 AXC393320:AXC393323 BGY393320:BGY393323 BQU393320:BQU393323 CAQ393320:CAQ393323 CKM393320:CKM393323 CUI393320:CUI393323 DEE393320:DEE393323 DOA393320:DOA393323 DXW393320:DXW393323 EHS393320:EHS393323 ERO393320:ERO393323 FBK393320:FBK393323 FLG393320:FLG393323 FVC393320:FVC393323 GEY393320:GEY393323 GOU393320:GOU393323 GYQ393320:GYQ393323 HIM393320:HIM393323 HSI393320:HSI393323 ICE393320:ICE393323 IMA393320:IMA393323 IVW393320:IVW393323 JFS393320:JFS393323 JPO393320:JPO393323 JZK393320:JZK393323 KJG393320:KJG393323 KTC393320:KTC393323 LCY393320:LCY393323 LMU393320:LMU393323 LWQ393320:LWQ393323 MGM393320:MGM393323 MQI393320:MQI393323 NAE393320:NAE393323 NKA393320:NKA393323 NTW393320:NTW393323 ODS393320:ODS393323 ONO393320:ONO393323 OXK393320:OXK393323 PHG393320:PHG393323 PRC393320:PRC393323 QAY393320:QAY393323 QKU393320:QKU393323 QUQ393320:QUQ393323 REM393320:REM393323 ROI393320:ROI393323 RYE393320:RYE393323 SIA393320:SIA393323 SRW393320:SRW393323 TBS393320:TBS393323 TLO393320:TLO393323 TVK393320:TVK393323 UFG393320:UFG393323 UPC393320:UPC393323 UYY393320:UYY393323 VIU393320:VIU393323 VSQ393320:VSQ393323 WCM393320:WCM393323 WMI393320:WMI393323 WWE393320:WWE393323 W458856:W458859 JS458856:JS458859 TO458856:TO458859 ADK458856:ADK458859 ANG458856:ANG458859 AXC458856:AXC458859 BGY458856:BGY458859 BQU458856:BQU458859 CAQ458856:CAQ458859 CKM458856:CKM458859 CUI458856:CUI458859 DEE458856:DEE458859 DOA458856:DOA458859 DXW458856:DXW458859 EHS458856:EHS458859 ERO458856:ERO458859 FBK458856:FBK458859 FLG458856:FLG458859 FVC458856:FVC458859 GEY458856:GEY458859 GOU458856:GOU458859 GYQ458856:GYQ458859 HIM458856:HIM458859 HSI458856:HSI458859 ICE458856:ICE458859 IMA458856:IMA458859 IVW458856:IVW458859 JFS458856:JFS458859 JPO458856:JPO458859 JZK458856:JZK458859 KJG458856:KJG458859 KTC458856:KTC458859 LCY458856:LCY458859 LMU458856:LMU458859 LWQ458856:LWQ458859 MGM458856:MGM458859 MQI458856:MQI458859 NAE458856:NAE458859 NKA458856:NKA458859 NTW458856:NTW458859 ODS458856:ODS458859 ONO458856:ONO458859 OXK458856:OXK458859 PHG458856:PHG458859 PRC458856:PRC458859 QAY458856:QAY458859 QKU458856:QKU458859 QUQ458856:QUQ458859 REM458856:REM458859 ROI458856:ROI458859 RYE458856:RYE458859 SIA458856:SIA458859 SRW458856:SRW458859 TBS458856:TBS458859 TLO458856:TLO458859 TVK458856:TVK458859 UFG458856:UFG458859 UPC458856:UPC458859 UYY458856:UYY458859 VIU458856:VIU458859 VSQ458856:VSQ458859 WCM458856:WCM458859 WMI458856:WMI458859 WWE458856:WWE458859 W524392:W524395 JS524392:JS524395 TO524392:TO524395 ADK524392:ADK524395 ANG524392:ANG524395 AXC524392:AXC524395 BGY524392:BGY524395 BQU524392:BQU524395 CAQ524392:CAQ524395 CKM524392:CKM524395 CUI524392:CUI524395 DEE524392:DEE524395 DOA524392:DOA524395 DXW524392:DXW524395 EHS524392:EHS524395 ERO524392:ERO524395 FBK524392:FBK524395 FLG524392:FLG524395 FVC524392:FVC524395 GEY524392:GEY524395 GOU524392:GOU524395 GYQ524392:GYQ524395 HIM524392:HIM524395 HSI524392:HSI524395 ICE524392:ICE524395 IMA524392:IMA524395 IVW524392:IVW524395 JFS524392:JFS524395 JPO524392:JPO524395 JZK524392:JZK524395 KJG524392:KJG524395 KTC524392:KTC524395 LCY524392:LCY524395 LMU524392:LMU524395 LWQ524392:LWQ524395 MGM524392:MGM524395 MQI524392:MQI524395 NAE524392:NAE524395 NKA524392:NKA524395 NTW524392:NTW524395 ODS524392:ODS524395 ONO524392:ONO524395 OXK524392:OXK524395 PHG524392:PHG524395 PRC524392:PRC524395 QAY524392:QAY524395 QKU524392:QKU524395 QUQ524392:QUQ524395 REM524392:REM524395 ROI524392:ROI524395 RYE524392:RYE524395 SIA524392:SIA524395 SRW524392:SRW524395 TBS524392:TBS524395 TLO524392:TLO524395 TVK524392:TVK524395 UFG524392:UFG524395 UPC524392:UPC524395 UYY524392:UYY524395 VIU524392:VIU524395 VSQ524392:VSQ524395 WCM524392:WCM524395 WMI524392:WMI524395 WWE524392:WWE524395 W589928:W589931 JS589928:JS589931 TO589928:TO589931 ADK589928:ADK589931 ANG589928:ANG589931 AXC589928:AXC589931 BGY589928:BGY589931 BQU589928:BQU589931 CAQ589928:CAQ589931 CKM589928:CKM589931 CUI589928:CUI589931 DEE589928:DEE589931 DOA589928:DOA589931 DXW589928:DXW589931 EHS589928:EHS589931 ERO589928:ERO589931 FBK589928:FBK589931 FLG589928:FLG589931 FVC589928:FVC589931 GEY589928:GEY589931 GOU589928:GOU589931 GYQ589928:GYQ589931 HIM589928:HIM589931 HSI589928:HSI589931 ICE589928:ICE589931 IMA589928:IMA589931 IVW589928:IVW589931 JFS589928:JFS589931 JPO589928:JPO589931 JZK589928:JZK589931 KJG589928:KJG589931 KTC589928:KTC589931 LCY589928:LCY589931 LMU589928:LMU589931 LWQ589928:LWQ589931 MGM589928:MGM589931 MQI589928:MQI589931 NAE589928:NAE589931 NKA589928:NKA589931 NTW589928:NTW589931 ODS589928:ODS589931 ONO589928:ONO589931 OXK589928:OXK589931 PHG589928:PHG589931 PRC589928:PRC589931 QAY589928:QAY589931 QKU589928:QKU589931 QUQ589928:QUQ589931 REM589928:REM589931 ROI589928:ROI589931 RYE589928:RYE589931 SIA589928:SIA589931 SRW589928:SRW589931 TBS589928:TBS589931 TLO589928:TLO589931 TVK589928:TVK589931 UFG589928:UFG589931 UPC589928:UPC589931 UYY589928:UYY589931 VIU589928:VIU589931 VSQ589928:VSQ589931 WCM589928:WCM589931 WMI589928:WMI589931 WWE589928:WWE589931 W655464:W655467 JS655464:JS655467 TO655464:TO655467 ADK655464:ADK655467 ANG655464:ANG655467 AXC655464:AXC655467 BGY655464:BGY655467 BQU655464:BQU655467 CAQ655464:CAQ655467 CKM655464:CKM655467 CUI655464:CUI655467 DEE655464:DEE655467 DOA655464:DOA655467 DXW655464:DXW655467 EHS655464:EHS655467 ERO655464:ERO655467 FBK655464:FBK655467 FLG655464:FLG655467 FVC655464:FVC655467 GEY655464:GEY655467 GOU655464:GOU655467 GYQ655464:GYQ655467 HIM655464:HIM655467 HSI655464:HSI655467 ICE655464:ICE655467 IMA655464:IMA655467 IVW655464:IVW655467 JFS655464:JFS655467 JPO655464:JPO655467 JZK655464:JZK655467 KJG655464:KJG655467 KTC655464:KTC655467 LCY655464:LCY655467 LMU655464:LMU655467 LWQ655464:LWQ655467 MGM655464:MGM655467 MQI655464:MQI655467 NAE655464:NAE655467 NKA655464:NKA655467 NTW655464:NTW655467 ODS655464:ODS655467 ONO655464:ONO655467 OXK655464:OXK655467 PHG655464:PHG655467 PRC655464:PRC655467 QAY655464:QAY655467 QKU655464:QKU655467 QUQ655464:QUQ655467 REM655464:REM655467 ROI655464:ROI655467 RYE655464:RYE655467 SIA655464:SIA655467 SRW655464:SRW655467 TBS655464:TBS655467 TLO655464:TLO655467 TVK655464:TVK655467 UFG655464:UFG655467 UPC655464:UPC655467 UYY655464:UYY655467 VIU655464:VIU655467 VSQ655464:VSQ655467 WCM655464:WCM655467 WMI655464:WMI655467 WWE655464:WWE655467 W721000:W721003 JS721000:JS721003 TO721000:TO721003 ADK721000:ADK721003 ANG721000:ANG721003 AXC721000:AXC721003 BGY721000:BGY721003 BQU721000:BQU721003 CAQ721000:CAQ721003 CKM721000:CKM721003 CUI721000:CUI721003 DEE721000:DEE721003 DOA721000:DOA721003 DXW721000:DXW721003 EHS721000:EHS721003 ERO721000:ERO721003 FBK721000:FBK721003 FLG721000:FLG721003 FVC721000:FVC721003 GEY721000:GEY721003 GOU721000:GOU721003 GYQ721000:GYQ721003 HIM721000:HIM721003 HSI721000:HSI721003 ICE721000:ICE721003 IMA721000:IMA721003 IVW721000:IVW721003 JFS721000:JFS721003 JPO721000:JPO721003 JZK721000:JZK721003 KJG721000:KJG721003 KTC721000:KTC721003 LCY721000:LCY721003 LMU721000:LMU721003 LWQ721000:LWQ721003 MGM721000:MGM721003 MQI721000:MQI721003 NAE721000:NAE721003 NKA721000:NKA721003 NTW721000:NTW721003 ODS721000:ODS721003 ONO721000:ONO721003 OXK721000:OXK721003 PHG721000:PHG721003 PRC721000:PRC721003 QAY721000:QAY721003 QKU721000:QKU721003 QUQ721000:QUQ721003 REM721000:REM721003 ROI721000:ROI721003 RYE721000:RYE721003 SIA721000:SIA721003 SRW721000:SRW721003 TBS721000:TBS721003 TLO721000:TLO721003 TVK721000:TVK721003 UFG721000:UFG721003 UPC721000:UPC721003 UYY721000:UYY721003 VIU721000:VIU721003 VSQ721000:VSQ721003 WCM721000:WCM721003 WMI721000:WMI721003 WWE721000:WWE721003 W786536:W786539 JS786536:JS786539 TO786536:TO786539 ADK786536:ADK786539 ANG786536:ANG786539 AXC786536:AXC786539 BGY786536:BGY786539 BQU786536:BQU786539 CAQ786536:CAQ786539 CKM786536:CKM786539 CUI786536:CUI786539 DEE786536:DEE786539 DOA786536:DOA786539 DXW786536:DXW786539 EHS786536:EHS786539 ERO786536:ERO786539 FBK786536:FBK786539 FLG786536:FLG786539 FVC786536:FVC786539 GEY786536:GEY786539 GOU786536:GOU786539 GYQ786536:GYQ786539 HIM786536:HIM786539 HSI786536:HSI786539 ICE786536:ICE786539 IMA786536:IMA786539 IVW786536:IVW786539 JFS786536:JFS786539 JPO786536:JPO786539 JZK786536:JZK786539 KJG786536:KJG786539 KTC786536:KTC786539 LCY786536:LCY786539 LMU786536:LMU786539 LWQ786536:LWQ786539 MGM786536:MGM786539 MQI786536:MQI786539 NAE786536:NAE786539 NKA786536:NKA786539 NTW786536:NTW786539 ODS786536:ODS786539 ONO786536:ONO786539 OXK786536:OXK786539 PHG786536:PHG786539 PRC786536:PRC786539 QAY786536:QAY786539 QKU786536:QKU786539 QUQ786536:QUQ786539 REM786536:REM786539 ROI786536:ROI786539 RYE786536:RYE786539 SIA786536:SIA786539 SRW786536:SRW786539 TBS786536:TBS786539 TLO786536:TLO786539 TVK786536:TVK786539 UFG786536:UFG786539 UPC786536:UPC786539 UYY786536:UYY786539 VIU786536:VIU786539 VSQ786536:VSQ786539 WCM786536:WCM786539 WMI786536:WMI786539 WWE786536:WWE786539 W852072:W852075 JS852072:JS852075 TO852072:TO852075 ADK852072:ADK852075 ANG852072:ANG852075 AXC852072:AXC852075 BGY852072:BGY852075 BQU852072:BQU852075 CAQ852072:CAQ852075 CKM852072:CKM852075 CUI852072:CUI852075 DEE852072:DEE852075 DOA852072:DOA852075 DXW852072:DXW852075 EHS852072:EHS852075 ERO852072:ERO852075 FBK852072:FBK852075 FLG852072:FLG852075 FVC852072:FVC852075 GEY852072:GEY852075 GOU852072:GOU852075 GYQ852072:GYQ852075 HIM852072:HIM852075 HSI852072:HSI852075 ICE852072:ICE852075 IMA852072:IMA852075 IVW852072:IVW852075 JFS852072:JFS852075 JPO852072:JPO852075 JZK852072:JZK852075 KJG852072:KJG852075 KTC852072:KTC852075 LCY852072:LCY852075 LMU852072:LMU852075 LWQ852072:LWQ852075 MGM852072:MGM852075 MQI852072:MQI852075 NAE852072:NAE852075 NKA852072:NKA852075 NTW852072:NTW852075 ODS852072:ODS852075 ONO852072:ONO852075 OXK852072:OXK852075 PHG852072:PHG852075 PRC852072:PRC852075 QAY852072:QAY852075 QKU852072:QKU852075 QUQ852072:QUQ852075 REM852072:REM852075 ROI852072:ROI852075 RYE852072:RYE852075 SIA852072:SIA852075 SRW852072:SRW852075 TBS852072:TBS852075 TLO852072:TLO852075 TVK852072:TVK852075 UFG852072:UFG852075 UPC852072:UPC852075 UYY852072:UYY852075 VIU852072:VIU852075 VSQ852072:VSQ852075 WCM852072:WCM852075 WMI852072:WMI852075 WWE852072:WWE852075 W917608:W917611 JS917608:JS917611 TO917608:TO917611 ADK917608:ADK917611 ANG917608:ANG917611 AXC917608:AXC917611 BGY917608:BGY917611 BQU917608:BQU917611 CAQ917608:CAQ917611 CKM917608:CKM917611 CUI917608:CUI917611 DEE917608:DEE917611 DOA917608:DOA917611 DXW917608:DXW917611 EHS917608:EHS917611 ERO917608:ERO917611 FBK917608:FBK917611 FLG917608:FLG917611 FVC917608:FVC917611 GEY917608:GEY917611 GOU917608:GOU917611 GYQ917608:GYQ917611 HIM917608:HIM917611 HSI917608:HSI917611 ICE917608:ICE917611 IMA917608:IMA917611 IVW917608:IVW917611 JFS917608:JFS917611 JPO917608:JPO917611 JZK917608:JZK917611 KJG917608:KJG917611 KTC917608:KTC917611 LCY917608:LCY917611 LMU917608:LMU917611 LWQ917608:LWQ917611 MGM917608:MGM917611 MQI917608:MQI917611 NAE917608:NAE917611 NKA917608:NKA917611 NTW917608:NTW917611 ODS917608:ODS917611 ONO917608:ONO917611 OXK917608:OXK917611 PHG917608:PHG917611 PRC917608:PRC917611 QAY917608:QAY917611 QKU917608:QKU917611 QUQ917608:QUQ917611 REM917608:REM917611 ROI917608:ROI917611 RYE917608:RYE917611 SIA917608:SIA917611 SRW917608:SRW917611 TBS917608:TBS917611 TLO917608:TLO917611 TVK917608:TVK917611 UFG917608:UFG917611 UPC917608:UPC917611 UYY917608:UYY917611 VIU917608:VIU917611 VSQ917608:VSQ917611 WCM917608:WCM917611 WMI917608:WMI917611 WWE917608:WWE917611 W983144:W983147 JS983144:JS983147 TO983144:TO983147 ADK983144:ADK983147 ANG983144:ANG983147 AXC983144:AXC983147 BGY983144:BGY983147 BQU983144:BQU983147 CAQ983144:CAQ983147 CKM983144:CKM983147 CUI983144:CUI983147 DEE983144:DEE983147 DOA983144:DOA983147 DXW983144:DXW983147 EHS983144:EHS983147 ERO983144:ERO983147 FBK983144:FBK983147 FLG983144:FLG983147 FVC983144:FVC983147 GEY983144:GEY983147 GOU983144:GOU983147 GYQ983144:GYQ983147 HIM983144:HIM983147 HSI983144:HSI983147 ICE983144:ICE983147 IMA983144:IMA983147 IVW983144:IVW983147 JFS983144:JFS983147 JPO983144:JPO983147 JZK983144:JZK983147 KJG983144:KJG983147 KTC983144:KTC983147 LCY983144:LCY983147 LMU983144:LMU983147 LWQ983144:LWQ983147 MGM983144:MGM983147 MQI983144:MQI983147 NAE983144:NAE983147 NKA983144:NKA983147 NTW983144:NTW983147 ODS983144:ODS983147 ONO983144:ONO983147 OXK983144:OXK983147 PHG983144:PHG983147 PRC983144:PRC983147 QAY983144:QAY983147 QKU983144:QKU983147 QUQ983144:QUQ983147 REM983144:REM983147 ROI983144:ROI983147 RYE983144:RYE983147 SIA983144:SIA983147 SRW983144:SRW983147 TBS983144:TBS983147 TLO983144:TLO983147 TVK983144:TVK983147 UFG983144:UFG983147 UPC983144:UPC983147 UYY983144:UYY983147 VIU983144:VIU983147 VSQ983144:VSQ983147 WCM983144:WCM983147 WMI983144:WMI983147 WWE983144:WWE983147 M65639:M65643 JI65639:JI65643 TE65639:TE65643 ADA65639:ADA65643 AMW65639:AMW65643 AWS65639:AWS65643 BGO65639:BGO65643 BQK65639:BQK65643 CAG65639:CAG65643 CKC65639:CKC65643 CTY65639:CTY65643 DDU65639:DDU65643 DNQ65639:DNQ65643 DXM65639:DXM65643 EHI65639:EHI65643 ERE65639:ERE65643 FBA65639:FBA65643 FKW65639:FKW65643 FUS65639:FUS65643 GEO65639:GEO65643 GOK65639:GOK65643 GYG65639:GYG65643 HIC65639:HIC65643 HRY65639:HRY65643 IBU65639:IBU65643 ILQ65639:ILQ65643 IVM65639:IVM65643 JFI65639:JFI65643 JPE65639:JPE65643 JZA65639:JZA65643 KIW65639:KIW65643 KSS65639:KSS65643 LCO65639:LCO65643 LMK65639:LMK65643 LWG65639:LWG65643 MGC65639:MGC65643 MPY65639:MPY65643 MZU65639:MZU65643 NJQ65639:NJQ65643 NTM65639:NTM65643 ODI65639:ODI65643 ONE65639:ONE65643 OXA65639:OXA65643 PGW65639:PGW65643 PQS65639:PQS65643 QAO65639:QAO65643 QKK65639:QKK65643 QUG65639:QUG65643 REC65639:REC65643 RNY65639:RNY65643 RXU65639:RXU65643 SHQ65639:SHQ65643 SRM65639:SRM65643 TBI65639:TBI65643 TLE65639:TLE65643 TVA65639:TVA65643 UEW65639:UEW65643 UOS65639:UOS65643 UYO65639:UYO65643 VIK65639:VIK65643 VSG65639:VSG65643 WCC65639:WCC65643 WLY65639:WLY65643 WVU65639:WVU65643 M131175:M131179 JI131175:JI131179 TE131175:TE131179 ADA131175:ADA131179 AMW131175:AMW131179 AWS131175:AWS131179 BGO131175:BGO131179 BQK131175:BQK131179 CAG131175:CAG131179 CKC131175:CKC131179 CTY131175:CTY131179 DDU131175:DDU131179 DNQ131175:DNQ131179 DXM131175:DXM131179 EHI131175:EHI131179 ERE131175:ERE131179 FBA131175:FBA131179 FKW131175:FKW131179 FUS131175:FUS131179 GEO131175:GEO131179 GOK131175:GOK131179 GYG131175:GYG131179 HIC131175:HIC131179 HRY131175:HRY131179 IBU131175:IBU131179 ILQ131175:ILQ131179 IVM131175:IVM131179 JFI131175:JFI131179 JPE131175:JPE131179 JZA131175:JZA131179 KIW131175:KIW131179 KSS131175:KSS131179 LCO131175:LCO131179 LMK131175:LMK131179 LWG131175:LWG131179 MGC131175:MGC131179 MPY131175:MPY131179 MZU131175:MZU131179 NJQ131175:NJQ131179 NTM131175:NTM131179 ODI131175:ODI131179 ONE131175:ONE131179 OXA131175:OXA131179 PGW131175:PGW131179 PQS131175:PQS131179 QAO131175:QAO131179 QKK131175:QKK131179 QUG131175:QUG131179 REC131175:REC131179 RNY131175:RNY131179 RXU131175:RXU131179 SHQ131175:SHQ131179 SRM131175:SRM131179 TBI131175:TBI131179 TLE131175:TLE131179 TVA131175:TVA131179 UEW131175:UEW131179 UOS131175:UOS131179 UYO131175:UYO131179 VIK131175:VIK131179 VSG131175:VSG131179 WCC131175:WCC131179 WLY131175:WLY131179 WVU131175:WVU131179 M196711:M196715 JI196711:JI196715 TE196711:TE196715 ADA196711:ADA196715 AMW196711:AMW196715 AWS196711:AWS196715 BGO196711:BGO196715 BQK196711:BQK196715 CAG196711:CAG196715 CKC196711:CKC196715 CTY196711:CTY196715 DDU196711:DDU196715 DNQ196711:DNQ196715 DXM196711:DXM196715 EHI196711:EHI196715 ERE196711:ERE196715 FBA196711:FBA196715 FKW196711:FKW196715 FUS196711:FUS196715 GEO196711:GEO196715 GOK196711:GOK196715 GYG196711:GYG196715 HIC196711:HIC196715 HRY196711:HRY196715 IBU196711:IBU196715 ILQ196711:ILQ196715 IVM196711:IVM196715 JFI196711:JFI196715 JPE196711:JPE196715 JZA196711:JZA196715 KIW196711:KIW196715 KSS196711:KSS196715 LCO196711:LCO196715 LMK196711:LMK196715 LWG196711:LWG196715 MGC196711:MGC196715 MPY196711:MPY196715 MZU196711:MZU196715 NJQ196711:NJQ196715 NTM196711:NTM196715 ODI196711:ODI196715 ONE196711:ONE196715 OXA196711:OXA196715 PGW196711:PGW196715 PQS196711:PQS196715 QAO196711:QAO196715 QKK196711:QKK196715 QUG196711:QUG196715 REC196711:REC196715 RNY196711:RNY196715 RXU196711:RXU196715 SHQ196711:SHQ196715 SRM196711:SRM196715 TBI196711:TBI196715 TLE196711:TLE196715 TVA196711:TVA196715 UEW196711:UEW196715 UOS196711:UOS196715 UYO196711:UYO196715 VIK196711:VIK196715 VSG196711:VSG196715 WCC196711:WCC196715 WLY196711:WLY196715 WVU196711:WVU196715 M262247:M262251 JI262247:JI262251 TE262247:TE262251 ADA262247:ADA262251 AMW262247:AMW262251 AWS262247:AWS262251 BGO262247:BGO262251 BQK262247:BQK262251 CAG262247:CAG262251 CKC262247:CKC262251 CTY262247:CTY262251 DDU262247:DDU262251 DNQ262247:DNQ262251 DXM262247:DXM262251 EHI262247:EHI262251 ERE262247:ERE262251 FBA262247:FBA262251 FKW262247:FKW262251 FUS262247:FUS262251 GEO262247:GEO262251 GOK262247:GOK262251 GYG262247:GYG262251 HIC262247:HIC262251 HRY262247:HRY262251 IBU262247:IBU262251 ILQ262247:ILQ262251 IVM262247:IVM262251 JFI262247:JFI262251 JPE262247:JPE262251 JZA262247:JZA262251 KIW262247:KIW262251 KSS262247:KSS262251 LCO262247:LCO262251 LMK262247:LMK262251 LWG262247:LWG262251 MGC262247:MGC262251 MPY262247:MPY262251 MZU262247:MZU262251 NJQ262247:NJQ262251 NTM262247:NTM262251 ODI262247:ODI262251 ONE262247:ONE262251 OXA262247:OXA262251 PGW262247:PGW262251 PQS262247:PQS262251 QAO262247:QAO262251 QKK262247:QKK262251 QUG262247:QUG262251 REC262247:REC262251 RNY262247:RNY262251 RXU262247:RXU262251 SHQ262247:SHQ262251 SRM262247:SRM262251 TBI262247:TBI262251 TLE262247:TLE262251 TVA262247:TVA262251 UEW262247:UEW262251 UOS262247:UOS262251 UYO262247:UYO262251 VIK262247:VIK262251 VSG262247:VSG262251 WCC262247:WCC262251 WLY262247:WLY262251 WVU262247:WVU262251 M327783:M327787 JI327783:JI327787 TE327783:TE327787 ADA327783:ADA327787 AMW327783:AMW327787 AWS327783:AWS327787 BGO327783:BGO327787 BQK327783:BQK327787 CAG327783:CAG327787 CKC327783:CKC327787 CTY327783:CTY327787 DDU327783:DDU327787 DNQ327783:DNQ327787 DXM327783:DXM327787 EHI327783:EHI327787 ERE327783:ERE327787 FBA327783:FBA327787 FKW327783:FKW327787 FUS327783:FUS327787 GEO327783:GEO327787 GOK327783:GOK327787 GYG327783:GYG327787 HIC327783:HIC327787 HRY327783:HRY327787 IBU327783:IBU327787 ILQ327783:ILQ327787 IVM327783:IVM327787 JFI327783:JFI327787 JPE327783:JPE327787 JZA327783:JZA327787 KIW327783:KIW327787 KSS327783:KSS327787 LCO327783:LCO327787 LMK327783:LMK327787 LWG327783:LWG327787 MGC327783:MGC327787 MPY327783:MPY327787 MZU327783:MZU327787 NJQ327783:NJQ327787 NTM327783:NTM327787 ODI327783:ODI327787 ONE327783:ONE327787 OXA327783:OXA327787 PGW327783:PGW327787 PQS327783:PQS327787 QAO327783:QAO327787 QKK327783:QKK327787 QUG327783:QUG327787 REC327783:REC327787 RNY327783:RNY327787 RXU327783:RXU327787 SHQ327783:SHQ327787 SRM327783:SRM327787 TBI327783:TBI327787 TLE327783:TLE327787 TVA327783:TVA327787 UEW327783:UEW327787 UOS327783:UOS327787 UYO327783:UYO327787 VIK327783:VIK327787 VSG327783:VSG327787 WCC327783:WCC327787 WLY327783:WLY327787 WVU327783:WVU327787 M393319:M393323 JI393319:JI393323 TE393319:TE393323 ADA393319:ADA393323 AMW393319:AMW393323 AWS393319:AWS393323 BGO393319:BGO393323 BQK393319:BQK393323 CAG393319:CAG393323 CKC393319:CKC393323 CTY393319:CTY393323 DDU393319:DDU393323 DNQ393319:DNQ393323 DXM393319:DXM393323 EHI393319:EHI393323 ERE393319:ERE393323 FBA393319:FBA393323 FKW393319:FKW393323 FUS393319:FUS393323 GEO393319:GEO393323 GOK393319:GOK393323 GYG393319:GYG393323 HIC393319:HIC393323 HRY393319:HRY393323 IBU393319:IBU393323 ILQ393319:ILQ393323 IVM393319:IVM393323 JFI393319:JFI393323 JPE393319:JPE393323 JZA393319:JZA393323 KIW393319:KIW393323 KSS393319:KSS393323 LCO393319:LCO393323 LMK393319:LMK393323 LWG393319:LWG393323 MGC393319:MGC393323 MPY393319:MPY393323 MZU393319:MZU393323 NJQ393319:NJQ393323 NTM393319:NTM393323 ODI393319:ODI393323 ONE393319:ONE393323 OXA393319:OXA393323 PGW393319:PGW393323 PQS393319:PQS393323 QAO393319:QAO393323 QKK393319:QKK393323 QUG393319:QUG393323 REC393319:REC393323 RNY393319:RNY393323 RXU393319:RXU393323 SHQ393319:SHQ393323 SRM393319:SRM393323 TBI393319:TBI393323 TLE393319:TLE393323 TVA393319:TVA393323 UEW393319:UEW393323 UOS393319:UOS393323 UYO393319:UYO393323 VIK393319:VIK393323 VSG393319:VSG393323 WCC393319:WCC393323 WLY393319:WLY393323 WVU393319:WVU393323 M458855:M458859 JI458855:JI458859 TE458855:TE458859 ADA458855:ADA458859 AMW458855:AMW458859 AWS458855:AWS458859 BGO458855:BGO458859 BQK458855:BQK458859 CAG458855:CAG458859 CKC458855:CKC458859 CTY458855:CTY458859 DDU458855:DDU458859 DNQ458855:DNQ458859 DXM458855:DXM458859 EHI458855:EHI458859 ERE458855:ERE458859 FBA458855:FBA458859 FKW458855:FKW458859 FUS458855:FUS458859 GEO458855:GEO458859 GOK458855:GOK458859 GYG458855:GYG458859 HIC458855:HIC458859 HRY458855:HRY458859 IBU458855:IBU458859 ILQ458855:ILQ458859 IVM458855:IVM458859 JFI458855:JFI458859 JPE458855:JPE458859 JZA458855:JZA458859 KIW458855:KIW458859 KSS458855:KSS458859 LCO458855:LCO458859 LMK458855:LMK458859 LWG458855:LWG458859 MGC458855:MGC458859 MPY458855:MPY458859 MZU458855:MZU458859 NJQ458855:NJQ458859 NTM458855:NTM458859 ODI458855:ODI458859 ONE458855:ONE458859 OXA458855:OXA458859 PGW458855:PGW458859 PQS458855:PQS458859 QAO458855:QAO458859 QKK458855:QKK458859 QUG458855:QUG458859 REC458855:REC458859 RNY458855:RNY458859 RXU458855:RXU458859 SHQ458855:SHQ458859 SRM458855:SRM458859 TBI458855:TBI458859 TLE458855:TLE458859 TVA458855:TVA458859 UEW458855:UEW458859 UOS458855:UOS458859 UYO458855:UYO458859 VIK458855:VIK458859 VSG458855:VSG458859 WCC458855:WCC458859 WLY458855:WLY458859 WVU458855:WVU458859 M524391:M524395 JI524391:JI524395 TE524391:TE524395 ADA524391:ADA524395 AMW524391:AMW524395 AWS524391:AWS524395 BGO524391:BGO524395 BQK524391:BQK524395 CAG524391:CAG524395 CKC524391:CKC524395 CTY524391:CTY524395 DDU524391:DDU524395 DNQ524391:DNQ524395 DXM524391:DXM524395 EHI524391:EHI524395 ERE524391:ERE524395 FBA524391:FBA524395 FKW524391:FKW524395 FUS524391:FUS524395 GEO524391:GEO524395 GOK524391:GOK524395 GYG524391:GYG524395 HIC524391:HIC524395 HRY524391:HRY524395 IBU524391:IBU524395 ILQ524391:ILQ524395 IVM524391:IVM524395 JFI524391:JFI524395 JPE524391:JPE524395 JZA524391:JZA524395 KIW524391:KIW524395 KSS524391:KSS524395 LCO524391:LCO524395 LMK524391:LMK524395 LWG524391:LWG524395 MGC524391:MGC524395 MPY524391:MPY524395 MZU524391:MZU524395 NJQ524391:NJQ524395 NTM524391:NTM524395 ODI524391:ODI524395 ONE524391:ONE524395 OXA524391:OXA524395 PGW524391:PGW524395 PQS524391:PQS524395 QAO524391:QAO524395 QKK524391:QKK524395 QUG524391:QUG524395 REC524391:REC524395 RNY524391:RNY524395 RXU524391:RXU524395 SHQ524391:SHQ524395 SRM524391:SRM524395 TBI524391:TBI524395 TLE524391:TLE524395 TVA524391:TVA524395 UEW524391:UEW524395 UOS524391:UOS524395 UYO524391:UYO524395 VIK524391:VIK524395 VSG524391:VSG524395 WCC524391:WCC524395 WLY524391:WLY524395 WVU524391:WVU524395 M589927:M589931 JI589927:JI589931 TE589927:TE589931 ADA589927:ADA589931 AMW589927:AMW589931 AWS589927:AWS589931 BGO589927:BGO589931 BQK589927:BQK589931 CAG589927:CAG589931 CKC589927:CKC589931 CTY589927:CTY589931 DDU589927:DDU589931 DNQ589927:DNQ589931 DXM589927:DXM589931 EHI589927:EHI589931 ERE589927:ERE589931 FBA589927:FBA589931 FKW589927:FKW589931 FUS589927:FUS589931 GEO589927:GEO589931 GOK589927:GOK589931 GYG589927:GYG589931 HIC589927:HIC589931 HRY589927:HRY589931 IBU589927:IBU589931 ILQ589927:ILQ589931 IVM589927:IVM589931 JFI589927:JFI589931 JPE589927:JPE589931 JZA589927:JZA589931 KIW589927:KIW589931 KSS589927:KSS589931 LCO589927:LCO589931 LMK589927:LMK589931 LWG589927:LWG589931 MGC589927:MGC589931 MPY589927:MPY589931 MZU589927:MZU589931 NJQ589927:NJQ589931 NTM589927:NTM589931 ODI589927:ODI589931 ONE589927:ONE589931 OXA589927:OXA589931 PGW589927:PGW589931 PQS589927:PQS589931 QAO589927:QAO589931 QKK589927:QKK589931 QUG589927:QUG589931 REC589927:REC589931 RNY589927:RNY589931 RXU589927:RXU589931 SHQ589927:SHQ589931 SRM589927:SRM589931 TBI589927:TBI589931 TLE589927:TLE589931 TVA589927:TVA589931 UEW589927:UEW589931 UOS589927:UOS589931 UYO589927:UYO589931 VIK589927:VIK589931 VSG589927:VSG589931 WCC589927:WCC589931 WLY589927:WLY589931 WVU589927:WVU589931 M655463:M655467 JI655463:JI655467 TE655463:TE655467 ADA655463:ADA655467 AMW655463:AMW655467 AWS655463:AWS655467 BGO655463:BGO655467 BQK655463:BQK655467 CAG655463:CAG655467 CKC655463:CKC655467 CTY655463:CTY655467 DDU655463:DDU655467 DNQ655463:DNQ655467 DXM655463:DXM655467 EHI655463:EHI655467 ERE655463:ERE655467 FBA655463:FBA655467 FKW655463:FKW655467 FUS655463:FUS655467 GEO655463:GEO655467 GOK655463:GOK655467 GYG655463:GYG655467 HIC655463:HIC655467 HRY655463:HRY655467 IBU655463:IBU655467 ILQ655463:ILQ655467 IVM655463:IVM655467 JFI655463:JFI655467 JPE655463:JPE655467 JZA655463:JZA655467 KIW655463:KIW655467 KSS655463:KSS655467 LCO655463:LCO655467 LMK655463:LMK655467 LWG655463:LWG655467 MGC655463:MGC655467 MPY655463:MPY655467 MZU655463:MZU655467 NJQ655463:NJQ655467 NTM655463:NTM655467 ODI655463:ODI655467 ONE655463:ONE655467 OXA655463:OXA655467 PGW655463:PGW655467 PQS655463:PQS655467 QAO655463:QAO655467 QKK655463:QKK655467 QUG655463:QUG655467 REC655463:REC655467 RNY655463:RNY655467 RXU655463:RXU655467 SHQ655463:SHQ655467 SRM655463:SRM655467 TBI655463:TBI655467 TLE655463:TLE655467 TVA655463:TVA655467 UEW655463:UEW655467 UOS655463:UOS655467 UYO655463:UYO655467 VIK655463:VIK655467 VSG655463:VSG655467 WCC655463:WCC655467 WLY655463:WLY655467 WVU655463:WVU655467 M720999:M721003 JI720999:JI721003 TE720999:TE721003 ADA720999:ADA721003 AMW720999:AMW721003 AWS720999:AWS721003 BGO720999:BGO721003 BQK720999:BQK721003 CAG720999:CAG721003 CKC720999:CKC721003 CTY720999:CTY721003 DDU720999:DDU721003 DNQ720999:DNQ721003 DXM720999:DXM721003 EHI720999:EHI721003 ERE720999:ERE721003 FBA720999:FBA721003 FKW720999:FKW721003 FUS720999:FUS721003 GEO720999:GEO721003 GOK720999:GOK721003 GYG720999:GYG721003 HIC720999:HIC721003 HRY720999:HRY721003 IBU720999:IBU721003 ILQ720999:ILQ721003 IVM720999:IVM721003 JFI720999:JFI721003 JPE720999:JPE721003 JZA720999:JZA721003 KIW720999:KIW721003 KSS720999:KSS721003 LCO720999:LCO721003 LMK720999:LMK721003 LWG720999:LWG721003 MGC720999:MGC721003 MPY720999:MPY721003 MZU720999:MZU721003 NJQ720999:NJQ721003 NTM720999:NTM721003 ODI720999:ODI721003 ONE720999:ONE721003 OXA720999:OXA721003 PGW720999:PGW721003 PQS720999:PQS721003 QAO720999:QAO721003 QKK720999:QKK721003 QUG720999:QUG721003 REC720999:REC721003 RNY720999:RNY721003 RXU720999:RXU721003 SHQ720999:SHQ721003 SRM720999:SRM721003 TBI720999:TBI721003 TLE720999:TLE721003 TVA720999:TVA721003 UEW720999:UEW721003 UOS720999:UOS721003 UYO720999:UYO721003 VIK720999:VIK721003 VSG720999:VSG721003 WCC720999:WCC721003 WLY720999:WLY721003 WVU720999:WVU721003 M786535:M786539 JI786535:JI786539 TE786535:TE786539 ADA786535:ADA786539 AMW786535:AMW786539 AWS786535:AWS786539 BGO786535:BGO786539 BQK786535:BQK786539 CAG786535:CAG786539 CKC786535:CKC786539 CTY786535:CTY786539 DDU786535:DDU786539 DNQ786535:DNQ786539 DXM786535:DXM786539 EHI786535:EHI786539 ERE786535:ERE786539 FBA786535:FBA786539 FKW786535:FKW786539 FUS786535:FUS786539 GEO786535:GEO786539 GOK786535:GOK786539 GYG786535:GYG786539 HIC786535:HIC786539 HRY786535:HRY786539 IBU786535:IBU786539 ILQ786535:ILQ786539 IVM786535:IVM786539 JFI786535:JFI786539 JPE786535:JPE786539 JZA786535:JZA786539 KIW786535:KIW786539 KSS786535:KSS786539 LCO786535:LCO786539 LMK786535:LMK786539 LWG786535:LWG786539 MGC786535:MGC786539 MPY786535:MPY786539 MZU786535:MZU786539 NJQ786535:NJQ786539 NTM786535:NTM786539 ODI786535:ODI786539 ONE786535:ONE786539 OXA786535:OXA786539 PGW786535:PGW786539 PQS786535:PQS786539 QAO786535:QAO786539 QKK786535:QKK786539 QUG786535:QUG786539 REC786535:REC786539 RNY786535:RNY786539 RXU786535:RXU786539 SHQ786535:SHQ786539 SRM786535:SRM786539 TBI786535:TBI786539 TLE786535:TLE786539 TVA786535:TVA786539 UEW786535:UEW786539 UOS786535:UOS786539 UYO786535:UYO786539 VIK786535:VIK786539 VSG786535:VSG786539 WCC786535:WCC786539 WLY786535:WLY786539 WVU786535:WVU786539 M852071:M852075 JI852071:JI852075 TE852071:TE852075 ADA852071:ADA852075 AMW852071:AMW852075 AWS852071:AWS852075 BGO852071:BGO852075 BQK852071:BQK852075 CAG852071:CAG852075 CKC852071:CKC852075 CTY852071:CTY852075 DDU852071:DDU852075 DNQ852071:DNQ852075 DXM852071:DXM852075 EHI852071:EHI852075 ERE852071:ERE852075 FBA852071:FBA852075 FKW852071:FKW852075 FUS852071:FUS852075 GEO852071:GEO852075 GOK852071:GOK852075 GYG852071:GYG852075 HIC852071:HIC852075 HRY852071:HRY852075 IBU852071:IBU852075 ILQ852071:ILQ852075 IVM852071:IVM852075 JFI852071:JFI852075 JPE852071:JPE852075 JZA852071:JZA852075 KIW852071:KIW852075 KSS852071:KSS852075 LCO852071:LCO852075 LMK852071:LMK852075 LWG852071:LWG852075 MGC852071:MGC852075 MPY852071:MPY852075 MZU852071:MZU852075 NJQ852071:NJQ852075 NTM852071:NTM852075 ODI852071:ODI852075 ONE852071:ONE852075 OXA852071:OXA852075 PGW852071:PGW852075 PQS852071:PQS852075 QAO852071:QAO852075 QKK852071:QKK852075 QUG852071:QUG852075 REC852071:REC852075 RNY852071:RNY852075 RXU852071:RXU852075 SHQ852071:SHQ852075 SRM852071:SRM852075 TBI852071:TBI852075 TLE852071:TLE852075 TVA852071:TVA852075 UEW852071:UEW852075 UOS852071:UOS852075 UYO852071:UYO852075 VIK852071:VIK852075 VSG852071:VSG852075 WCC852071:WCC852075 WLY852071:WLY852075 WVU852071:WVU852075 M917607:M917611 JI917607:JI917611 TE917607:TE917611 ADA917607:ADA917611 AMW917607:AMW917611 AWS917607:AWS917611 BGO917607:BGO917611 BQK917607:BQK917611 CAG917607:CAG917611 CKC917607:CKC917611 CTY917607:CTY917611 DDU917607:DDU917611 DNQ917607:DNQ917611 DXM917607:DXM917611 EHI917607:EHI917611 ERE917607:ERE917611 FBA917607:FBA917611 FKW917607:FKW917611 FUS917607:FUS917611 GEO917607:GEO917611 GOK917607:GOK917611 GYG917607:GYG917611 HIC917607:HIC917611 HRY917607:HRY917611 IBU917607:IBU917611 ILQ917607:ILQ917611 IVM917607:IVM917611 JFI917607:JFI917611 JPE917607:JPE917611 JZA917607:JZA917611 KIW917607:KIW917611 KSS917607:KSS917611 LCO917607:LCO917611 LMK917607:LMK917611 LWG917607:LWG917611 MGC917607:MGC917611 MPY917607:MPY917611 MZU917607:MZU917611 NJQ917607:NJQ917611 NTM917607:NTM917611 ODI917607:ODI917611 ONE917607:ONE917611 OXA917607:OXA917611 PGW917607:PGW917611 PQS917607:PQS917611 QAO917607:QAO917611 QKK917607:QKK917611 QUG917607:QUG917611 REC917607:REC917611 RNY917607:RNY917611 RXU917607:RXU917611 SHQ917607:SHQ917611 SRM917607:SRM917611 TBI917607:TBI917611 TLE917607:TLE917611 TVA917607:TVA917611 UEW917607:UEW917611 UOS917607:UOS917611 UYO917607:UYO917611 VIK917607:VIK917611 VSG917607:VSG917611 WCC917607:WCC917611 WLY917607:WLY917611 WVU917607:WVU917611 M983143:M983147 JI983143:JI983147 TE983143:TE983147 ADA983143:ADA983147 AMW983143:AMW983147 AWS983143:AWS983147 BGO983143:BGO983147 BQK983143:BQK983147 CAG983143:CAG983147 CKC983143:CKC983147 CTY983143:CTY983147 DDU983143:DDU983147 DNQ983143:DNQ983147 DXM983143:DXM983147 EHI983143:EHI983147 ERE983143:ERE983147 FBA983143:FBA983147 FKW983143:FKW983147 FUS983143:FUS983147 GEO983143:GEO983147 GOK983143:GOK983147 GYG983143:GYG983147 HIC983143:HIC983147 HRY983143:HRY983147 IBU983143:IBU983147 ILQ983143:ILQ983147 IVM983143:IVM983147 JFI983143:JFI983147 JPE983143:JPE983147 JZA983143:JZA983147 KIW983143:KIW983147 KSS983143:KSS983147 LCO983143:LCO983147 LMK983143:LMK983147 LWG983143:LWG983147 MGC983143:MGC983147 MPY983143:MPY983147 MZU983143:MZU983147 NJQ983143:NJQ983147 NTM983143:NTM983147 ODI983143:ODI983147 ONE983143:ONE983147 OXA983143:OXA983147 PGW983143:PGW983147 PQS983143:PQS983147 QAO983143:QAO983147 QKK983143:QKK983147 QUG983143:QUG983147 REC983143:REC983147 RNY983143:RNY983147 RXU983143:RXU983147 SHQ983143:SHQ983147 SRM983143:SRM983147 TBI983143:TBI983147 TLE983143:TLE983147 TVA983143:TVA983147 UEW983143:UEW983147 UOS983143:UOS983147 UYO983143:UYO983147 VIK983143:VIK983147 VSG983143:VSG983147 WCC983143:WCC983147 WLY983143:WLY983147 WVU983143:WVU983147 TO105:TO107 R65640:R65643 JN65640:JN65643 TJ65640:TJ65643 ADF65640:ADF65643 ANB65640:ANB65643 AWX65640:AWX65643 BGT65640:BGT65643 BQP65640:BQP65643 CAL65640:CAL65643 CKH65640:CKH65643 CUD65640:CUD65643 DDZ65640:DDZ65643 DNV65640:DNV65643 DXR65640:DXR65643 EHN65640:EHN65643 ERJ65640:ERJ65643 FBF65640:FBF65643 FLB65640:FLB65643 FUX65640:FUX65643 GET65640:GET65643 GOP65640:GOP65643 GYL65640:GYL65643 HIH65640:HIH65643 HSD65640:HSD65643 IBZ65640:IBZ65643 ILV65640:ILV65643 IVR65640:IVR65643 JFN65640:JFN65643 JPJ65640:JPJ65643 JZF65640:JZF65643 KJB65640:KJB65643 KSX65640:KSX65643 LCT65640:LCT65643 LMP65640:LMP65643 LWL65640:LWL65643 MGH65640:MGH65643 MQD65640:MQD65643 MZZ65640:MZZ65643 NJV65640:NJV65643 NTR65640:NTR65643 ODN65640:ODN65643 ONJ65640:ONJ65643 OXF65640:OXF65643 PHB65640:PHB65643 PQX65640:PQX65643 QAT65640:QAT65643 QKP65640:QKP65643 QUL65640:QUL65643 REH65640:REH65643 ROD65640:ROD65643 RXZ65640:RXZ65643 SHV65640:SHV65643 SRR65640:SRR65643 TBN65640:TBN65643 TLJ65640:TLJ65643 TVF65640:TVF65643 UFB65640:UFB65643 UOX65640:UOX65643 UYT65640:UYT65643 VIP65640:VIP65643 VSL65640:VSL65643 WCH65640:WCH65643 WMD65640:WMD65643 WVZ65640:WVZ65643 R131176:R131179 JN131176:JN131179 TJ131176:TJ131179 ADF131176:ADF131179 ANB131176:ANB131179 AWX131176:AWX131179 BGT131176:BGT131179 BQP131176:BQP131179 CAL131176:CAL131179 CKH131176:CKH131179 CUD131176:CUD131179 DDZ131176:DDZ131179 DNV131176:DNV131179 DXR131176:DXR131179 EHN131176:EHN131179 ERJ131176:ERJ131179 FBF131176:FBF131179 FLB131176:FLB131179 FUX131176:FUX131179 GET131176:GET131179 GOP131176:GOP131179 GYL131176:GYL131179 HIH131176:HIH131179 HSD131176:HSD131179 IBZ131176:IBZ131179 ILV131176:ILV131179 IVR131176:IVR131179 JFN131176:JFN131179 JPJ131176:JPJ131179 JZF131176:JZF131179 KJB131176:KJB131179 KSX131176:KSX131179 LCT131176:LCT131179 LMP131176:LMP131179 LWL131176:LWL131179 MGH131176:MGH131179 MQD131176:MQD131179 MZZ131176:MZZ131179 NJV131176:NJV131179 NTR131176:NTR131179 ODN131176:ODN131179 ONJ131176:ONJ131179 OXF131176:OXF131179 PHB131176:PHB131179 PQX131176:PQX131179 QAT131176:QAT131179 QKP131176:QKP131179 QUL131176:QUL131179 REH131176:REH131179 ROD131176:ROD131179 RXZ131176:RXZ131179 SHV131176:SHV131179 SRR131176:SRR131179 TBN131176:TBN131179 TLJ131176:TLJ131179 TVF131176:TVF131179 UFB131176:UFB131179 UOX131176:UOX131179 UYT131176:UYT131179 VIP131176:VIP131179 VSL131176:VSL131179 WCH131176:WCH131179 WMD131176:WMD131179 WVZ131176:WVZ131179 R196712:R196715 JN196712:JN196715 TJ196712:TJ196715 ADF196712:ADF196715 ANB196712:ANB196715 AWX196712:AWX196715 BGT196712:BGT196715 BQP196712:BQP196715 CAL196712:CAL196715 CKH196712:CKH196715 CUD196712:CUD196715 DDZ196712:DDZ196715 DNV196712:DNV196715 DXR196712:DXR196715 EHN196712:EHN196715 ERJ196712:ERJ196715 FBF196712:FBF196715 FLB196712:FLB196715 FUX196712:FUX196715 GET196712:GET196715 GOP196712:GOP196715 GYL196712:GYL196715 HIH196712:HIH196715 HSD196712:HSD196715 IBZ196712:IBZ196715 ILV196712:ILV196715 IVR196712:IVR196715 JFN196712:JFN196715 JPJ196712:JPJ196715 JZF196712:JZF196715 KJB196712:KJB196715 KSX196712:KSX196715 LCT196712:LCT196715 LMP196712:LMP196715 LWL196712:LWL196715 MGH196712:MGH196715 MQD196712:MQD196715 MZZ196712:MZZ196715 NJV196712:NJV196715 NTR196712:NTR196715 ODN196712:ODN196715 ONJ196712:ONJ196715 OXF196712:OXF196715 PHB196712:PHB196715 PQX196712:PQX196715 QAT196712:QAT196715 QKP196712:QKP196715 QUL196712:QUL196715 REH196712:REH196715 ROD196712:ROD196715 RXZ196712:RXZ196715 SHV196712:SHV196715 SRR196712:SRR196715 TBN196712:TBN196715 TLJ196712:TLJ196715 TVF196712:TVF196715 UFB196712:UFB196715 UOX196712:UOX196715 UYT196712:UYT196715 VIP196712:VIP196715 VSL196712:VSL196715 WCH196712:WCH196715 WMD196712:WMD196715 WVZ196712:WVZ196715 R262248:R262251 JN262248:JN262251 TJ262248:TJ262251 ADF262248:ADF262251 ANB262248:ANB262251 AWX262248:AWX262251 BGT262248:BGT262251 BQP262248:BQP262251 CAL262248:CAL262251 CKH262248:CKH262251 CUD262248:CUD262251 DDZ262248:DDZ262251 DNV262248:DNV262251 DXR262248:DXR262251 EHN262248:EHN262251 ERJ262248:ERJ262251 FBF262248:FBF262251 FLB262248:FLB262251 FUX262248:FUX262251 GET262248:GET262251 GOP262248:GOP262251 GYL262248:GYL262251 HIH262248:HIH262251 HSD262248:HSD262251 IBZ262248:IBZ262251 ILV262248:ILV262251 IVR262248:IVR262251 JFN262248:JFN262251 JPJ262248:JPJ262251 JZF262248:JZF262251 KJB262248:KJB262251 KSX262248:KSX262251 LCT262248:LCT262251 LMP262248:LMP262251 LWL262248:LWL262251 MGH262248:MGH262251 MQD262248:MQD262251 MZZ262248:MZZ262251 NJV262248:NJV262251 NTR262248:NTR262251 ODN262248:ODN262251 ONJ262248:ONJ262251 OXF262248:OXF262251 PHB262248:PHB262251 PQX262248:PQX262251 QAT262248:QAT262251 QKP262248:QKP262251 QUL262248:QUL262251 REH262248:REH262251 ROD262248:ROD262251 RXZ262248:RXZ262251 SHV262248:SHV262251 SRR262248:SRR262251 TBN262248:TBN262251 TLJ262248:TLJ262251 TVF262248:TVF262251 UFB262248:UFB262251 UOX262248:UOX262251 UYT262248:UYT262251 VIP262248:VIP262251 VSL262248:VSL262251 WCH262248:WCH262251 WMD262248:WMD262251 WVZ262248:WVZ262251 R327784:R327787 JN327784:JN327787 TJ327784:TJ327787 ADF327784:ADF327787 ANB327784:ANB327787 AWX327784:AWX327787 BGT327784:BGT327787 BQP327784:BQP327787 CAL327784:CAL327787 CKH327784:CKH327787 CUD327784:CUD327787 DDZ327784:DDZ327787 DNV327784:DNV327787 DXR327784:DXR327787 EHN327784:EHN327787 ERJ327784:ERJ327787 FBF327784:FBF327787 FLB327784:FLB327787 FUX327784:FUX327787 GET327784:GET327787 GOP327784:GOP327787 GYL327784:GYL327787 HIH327784:HIH327787 HSD327784:HSD327787 IBZ327784:IBZ327787 ILV327784:ILV327787 IVR327784:IVR327787 JFN327784:JFN327787 JPJ327784:JPJ327787 JZF327784:JZF327787 KJB327784:KJB327787 KSX327784:KSX327787 LCT327784:LCT327787 LMP327784:LMP327787 LWL327784:LWL327787 MGH327784:MGH327787 MQD327784:MQD327787 MZZ327784:MZZ327787 NJV327784:NJV327787 NTR327784:NTR327787 ODN327784:ODN327787 ONJ327784:ONJ327787 OXF327784:OXF327787 PHB327784:PHB327787 PQX327784:PQX327787 QAT327784:QAT327787 QKP327784:QKP327787 QUL327784:QUL327787 REH327784:REH327787 ROD327784:ROD327787 RXZ327784:RXZ327787 SHV327784:SHV327787 SRR327784:SRR327787 TBN327784:TBN327787 TLJ327784:TLJ327787 TVF327784:TVF327787 UFB327784:UFB327787 UOX327784:UOX327787 UYT327784:UYT327787 VIP327784:VIP327787 VSL327784:VSL327787 WCH327784:WCH327787 WMD327784:WMD327787 WVZ327784:WVZ327787 R393320:R393323 JN393320:JN393323 TJ393320:TJ393323 ADF393320:ADF393323 ANB393320:ANB393323 AWX393320:AWX393323 BGT393320:BGT393323 BQP393320:BQP393323 CAL393320:CAL393323 CKH393320:CKH393323 CUD393320:CUD393323 DDZ393320:DDZ393323 DNV393320:DNV393323 DXR393320:DXR393323 EHN393320:EHN393323 ERJ393320:ERJ393323 FBF393320:FBF393323 FLB393320:FLB393323 FUX393320:FUX393323 GET393320:GET393323 GOP393320:GOP393323 GYL393320:GYL393323 HIH393320:HIH393323 HSD393320:HSD393323 IBZ393320:IBZ393323 ILV393320:ILV393323 IVR393320:IVR393323 JFN393320:JFN393323 JPJ393320:JPJ393323 JZF393320:JZF393323 KJB393320:KJB393323 KSX393320:KSX393323 LCT393320:LCT393323 LMP393320:LMP393323 LWL393320:LWL393323 MGH393320:MGH393323 MQD393320:MQD393323 MZZ393320:MZZ393323 NJV393320:NJV393323 NTR393320:NTR393323 ODN393320:ODN393323 ONJ393320:ONJ393323 OXF393320:OXF393323 PHB393320:PHB393323 PQX393320:PQX393323 QAT393320:QAT393323 QKP393320:QKP393323 QUL393320:QUL393323 REH393320:REH393323 ROD393320:ROD393323 RXZ393320:RXZ393323 SHV393320:SHV393323 SRR393320:SRR393323 TBN393320:TBN393323 TLJ393320:TLJ393323 TVF393320:TVF393323 UFB393320:UFB393323 UOX393320:UOX393323 UYT393320:UYT393323 VIP393320:VIP393323 VSL393320:VSL393323 WCH393320:WCH393323 WMD393320:WMD393323 WVZ393320:WVZ393323 R458856:R458859 JN458856:JN458859 TJ458856:TJ458859 ADF458856:ADF458859 ANB458856:ANB458859 AWX458856:AWX458859 BGT458856:BGT458859 BQP458856:BQP458859 CAL458856:CAL458859 CKH458856:CKH458859 CUD458856:CUD458859 DDZ458856:DDZ458859 DNV458856:DNV458859 DXR458856:DXR458859 EHN458856:EHN458859 ERJ458856:ERJ458859 FBF458856:FBF458859 FLB458856:FLB458859 FUX458856:FUX458859 GET458856:GET458859 GOP458856:GOP458859 GYL458856:GYL458859 HIH458856:HIH458859 HSD458856:HSD458859 IBZ458856:IBZ458859 ILV458856:ILV458859 IVR458856:IVR458859 JFN458856:JFN458859 JPJ458856:JPJ458859 JZF458856:JZF458859 KJB458856:KJB458859 KSX458856:KSX458859 LCT458856:LCT458859 LMP458856:LMP458859 LWL458856:LWL458859 MGH458856:MGH458859 MQD458856:MQD458859 MZZ458856:MZZ458859 NJV458856:NJV458859 NTR458856:NTR458859 ODN458856:ODN458859 ONJ458856:ONJ458859 OXF458856:OXF458859 PHB458856:PHB458859 PQX458856:PQX458859 QAT458856:QAT458859 QKP458856:QKP458859 QUL458856:QUL458859 REH458856:REH458859 ROD458856:ROD458859 RXZ458856:RXZ458859 SHV458856:SHV458859 SRR458856:SRR458859 TBN458856:TBN458859 TLJ458856:TLJ458859 TVF458856:TVF458859 UFB458856:UFB458859 UOX458856:UOX458859 UYT458856:UYT458859 VIP458856:VIP458859 VSL458856:VSL458859 WCH458856:WCH458859 WMD458856:WMD458859 WVZ458856:WVZ458859 R524392:R524395 JN524392:JN524395 TJ524392:TJ524395 ADF524392:ADF524395 ANB524392:ANB524395 AWX524392:AWX524395 BGT524392:BGT524395 BQP524392:BQP524395 CAL524392:CAL524395 CKH524392:CKH524395 CUD524392:CUD524395 DDZ524392:DDZ524395 DNV524392:DNV524395 DXR524392:DXR524395 EHN524392:EHN524395 ERJ524392:ERJ524395 FBF524392:FBF524395 FLB524392:FLB524395 FUX524392:FUX524395 GET524392:GET524395 GOP524392:GOP524395 GYL524392:GYL524395 HIH524392:HIH524395 HSD524392:HSD524395 IBZ524392:IBZ524395 ILV524392:ILV524395 IVR524392:IVR524395 JFN524392:JFN524395 JPJ524392:JPJ524395 JZF524392:JZF524395 KJB524392:KJB524395 KSX524392:KSX524395 LCT524392:LCT524395 LMP524392:LMP524395 LWL524392:LWL524395 MGH524392:MGH524395 MQD524392:MQD524395 MZZ524392:MZZ524395 NJV524392:NJV524395 NTR524392:NTR524395 ODN524392:ODN524395 ONJ524392:ONJ524395 OXF524392:OXF524395 PHB524392:PHB524395 PQX524392:PQX524395 QAT524392:QAT524395 QKP524392:QKP524395 QUL524392:QUL524395 REH524392:REH524395 ROD524392:ROD524395 RXZ524392:RXZ524395 SHV524392:SHV524395 SRR524392:SRR524395 TBN524392:TBN524395 TLJ524392:TLJ524395 TVF524392:TVF524395 UFB524392:UFB524395 UOX524392:UOX524395 UYT524392:UYT524395 VIP524392:VIP524395 VSL524392:VSL524395 WCH524392:WCH524395 WMD524392:WMD524395 WVZ524392:WVZ524395 R589928:R589931 JN589928:JN589931 TJ589928:TJ589931 ADF589928:ADF589931 ANB589928:ANB589931 AWX589928:AWX589931 BGT589928:BGT589931 BQP589928:BQP589931 CAL589928:CAL589931 CKH589928:CKH589931 CUD589928:CUD589931 DDZ589928:DDZ589931 DNV589928:DNV589931 DXR589928:DXR589931 EHN589928:EHN589931 ERJ589928:ERJ589931 FBF589928:FBF589931 FLB589928:FLB589931 FUX589928:FUX589931 GET589928:GET589931 GOP589928:GOP589931 GYL589928:GYL589931 HIH589928:HIH589931 HSD589928:HSD589931 IBZ589928:IBZ589931 ILV589928:ILV589931 IVR589928:IVR589931 JFN589928:JFN589931 JPJ589928:JPJ589931 JZF589928:JZF589931 KJB589928:KJB589931 KSX589928:KSX589931 LCT589928:LCT589931 LMP589928:LMP589931 LWL589928:LWL589931 MGH589928:MGH589931 MQD589928:MQD589931 MZZ589928:MZZ589931 NJV589928:NJV589931 NTR589928:NTR589931 ODN589928:ODN589931 ONJ589928:ONJ589931 OXF589928:OXF589931 PHB589928:PHB589931 PQX589928:PQX589931 QAT589928:QAT589931 QKP589928:QKP589931 QUL589928:QUL589931 REH589928:REH589931 ROD589928:ROD589931 RXZ589928:RXZ589931 SHV589928:SHV589931 SRR589928:SRR589931 TBN589928:TBN589931 TLJ589928:TLJ589931 TVF589928:TVF589931 UFB589928:UFB589931 UOX589928:UOX589931 UYT589928:UYT589931 VIP589928:VIP589931 VSL589928:VSL589931 WCH589928:WCH589931 WMD589928:WMD589931 WVZ589928:WVZ589931 R655464:R655467 JN655464:JN655467 TJ655464:TJ655467 ADF655464:ADF655467 ANB655464:ANB655467 AWX655464:AWX655467 BGT655464:BGT655467 BQP655464:BQP655467 CAL655464:CAL655467 CKH655464:CKH655467 CUD655464:CUD655467 DDZ655464:DDZ655467 DNV655464:DNV655467 DXR655464:DXR655467 EHN655464:EHN655467 ERJ655464:ERJ655467 FBF655464:FBF655467 FLB655464:FLB655467 FUX655464:FUX655467 GET655464:GET655467 GOP655464:GOP655467 GYL655464:GYL655467 HIH655464:HIH655467 HSD655464:HSD655467 IBZ655464:IBZ655467 ILV655464:ILV655467 IVR655464:IVR655467 JFN655464:JFN655467 JPJ655464:JPJ655467 JZF655464:JZF655467 KJB655464:KJB655467 KSX655464:KSX655467 LCT655464:LCT655467 LMP655464:LMP655467 LWL655464:LWL655467 MGH655464:MGH655467 MQD655464:MQD655467 MZZ655464:MZZ655467 NJV655464:NJV655467 NTR655464:NTR655467 ODN655464:ODN655467 ONJ655464:ONJ655467 OXF655464:OXF655467 PHB655464:PHB655467 PQX655464:PQX655467 QAT655464:QAT655467 QKP655464:QKP655467 QUL655464:QUL655467 REH655464:REH655467 ROD655464:ROD655467 RXZ655464:RXZ655467 SHV655464:SHV655467 SRR655464:SRR655467 TBN655464:TBN655467 TLJ655464:TLJ655467 TVF655464:TVF655467 UFB655464:UFB655467 UOX655464:UOX655467 UYT655464:UYT655467 VIP655464:VIP655467 VSL655464:VSL655467 WCH655464:WCH655467 WMD655464:WMD655467 WVZ655464:WVZ655467 R721000:R721003 JN721000:JN721003 TJ721000:TJ721003 ADF721000:ADF721003 ANB721000:ANB721003 AWX721000:AWX721003 BGT721000:BGT721003 BQP721000:BQP721003 CAL721000:CAL721003 CKH721000:CKH721003 CUD721000:CUD721003 DDZ721000:DDZ721003 DNV721000:DNV721003 DXR721000:DXR721003 EHN721000:EHN721003 ERJ721000:ERJ721003 FBF721000:FBF721003 FLB721000:FLB721003 FUX721000:FUX721003 GET721000:GET721003 GOP721000:GOP721003 GYL721000:GYL721003 HIH721000:HIH721003 HSD721000:HSD721003 IBZ721000:IBZ721003 ILV721000:ILV721003 IVR721000:IVR721003 JFN721000:JFN721003 JPJ721000:JPJ721003 JZF721000:JZF721003 KJB721000:KJB721003 KSX721000:KSX721003 LCT721000:LCT721003 LMP721000:LMP721003 LWL721000:LWL721003 MGH721000:MGH721003 MQD721000:MQD721003 MZZ721000:MZZ721003 NJV721000:NJV721003 NTR721000:NTR721003 ODN721000:ODN721003 ONJ721000:ONJ721003 OXF721000:OXF721003 PHB721000:PHB721003 PQX721000:PQX721003 QAT721000:QAT721003 QKP721000:QKP721003 QUL721000:QUL721003 REH721000:REH721003 ROD721000:ROD721003 RXZ721000:RXZ721003 SHV721000:SHV721003 SRR721000:SRR721003 TBN721000:TBN721003 TLJ721000:TLJ721003 TVF721000:TVF721003 UFB721000:UFB721003 UOX721000:UOX721003 UYT721000:UYT721003 VIP721000:VIP721003 VSL721000:VSL721003 WCH721000:WCH721003 WMD721000:WMD721003 WVZ721000:WVZ721003 R786536:R786539 JN786536:JN786539 TJ786536:TJ786539 ADF786536:ADF786539 ANB786536:ANB786539 AWX786536:AWX786539 BGT786536:BGT786539 BQP786536:BQP786539 CAL786536:CAL786539 CKH786536:CKH786539 CUD786536:CUD786539 DDZ786536:DDZ786539 DNV786536:DNV786539 DXR786536:DXR786539 EHN786536:EHN786539 ERJ786536:ERJ786539 FBF786536:FBF786539 FLB786536:FLB786539 FUX786536:FUX786539 GET786536:GET786539 GOP786536:GOP786539 GYL786536:GYL786539 HIH786536:HIH786539 HSD786536:HSD786539 IBZ786536:IBZ786539 ILV786536:ILV786539 IVR786536:IVR786539 JFN786536:JFN786539 JPJ786536:JPJ786539 JZF786536:JZF786539 KJB786536:KJB786539 KSX786536:KSX786539 LCT786536:LCT786539 LMP786536:LMP786539 LWL786536:LWL786539 MGH786536:MGH786539 MQD786536:MQD786539 MZZ786536:MZZ786539 NJV786536:NJV786539 NTR786536:NTR786539 ODN786536:ODN786539 ONJ786536:ONJ786539 OXF786536:OXF786539 PHB786536:PHB786539 PQX786536:PQX786539 QAT786536:QAT786539 QKP786536:QKP786539 QUL786536:QUL786539 REH786536:REH786539 ROD786536:ROD786539 RXZ786536:RXZ786539 SHV786536:SHV786539 SRR786536:SRR786539 TBN786536:TBN786539 TLJ786536:TLJ786539 TVF786536:TVF786539 UFB786536:UFB786539 UOX786536:UOX786539 UYT786536:UYT786539 VIP786536:VIP786539 VSL786536:VSL786539 WCH786536:WCH786539 WMD786536:WMD786539 WVZ786536:WVZ786539 R852072:R852075 JN852072:JN852075 TJ852072:TJ852075 ADF852072:ADF852075 ANB852072:ANB852075 AWX852072:AWX852075 BGT852072:BGT852075 BQP852072:BQP852075 CAL852072:CAL852075 CKH852072:CKH852075 CUD852072:CUD852075 DDZ852072:DDZ852075 DNV852072:DNV852075 DXR852072:DXR852075 EHN852072:EHN852075 ERJ852072:ERJ852075 FBF852072:FBF852075 FLB852072:FLB852075 FUX852072:FUX852075 GET852072:GET852075 GOP852072:GOP852075 GYL852072:GYL852075 HIH852072:HIH852075 HSD852072:HSD852075 IBZ852072:IBZ852075 ILV852072:ILV852075 IVR852072:IVR852075 JFN852072:JFN852075 JPJ852072:JPJ852075 JZF852072:JZF852075 KJB852072:KJB852075 KSX852072:KSX852075 LCT852072:LCT852075 LMP852072:LMP852075 LWL852072:LWL852075 MGH852072:MGH852075 MQD852072:MQD852075 MZZ852072:MZZ852075 NJV852072:NJV852075 NTR852072:NTR852075 ODN852072:ODN852075 ONJ852072:ONJ852075 OXF852072:OXF852075 PHB852072:PHB852075 PQX852072:PQX852075 QAT852072:QAT852075 QKP852072:QKP852075 QUL852072:QUL852075 REH852072:REH852075 ROD852072:ROD852075 RXZ852072:RXZ852075 SHV852072:SHV852075 SRR852072:SRR852075 TBN852072:TBN852075 TLJ852072:TLJ852075 TVF852072:TVF852075 UFB852072:UFB852075 UOX852072:UOX852075 UYT852072:UYT852075 VIP852072:VIP852075 VSL852072:VSL852075 WCH852072:WCH852075 WMD852072:WMD852075 WVZ852072:WVZ852075 R917608:R917611 JN917608:JN917611 TJ917608:TJ917611 ADF917608:ADF917611 ANB917608:ANB917611 AWX917608:AWX917611 BGT917608:BGT917611 BQP917608:BQP917611 CAL917608:CAL917611 CKH917608:CKH917611 CUD917608:CUD917611 DDZ917608:DDZ917611 DNV917608:DNV917611 DXR917608:DXR917611 EHN917608:EHN917611 ERJ917608:ERJ917611 FBF917608:FBF917611 FLB917608:FLB917611 FUX917608:FUX917611 GET917608:GET917611 GOP917608:GOP917611 GYL917608:GYL917611 HIH917608:HIH917611 HSD917608:HSD917611 IBZ917608:IBZ917611 ILV917608:ILV917611 IVR917608:IVR917611 JFN917608:JFN917611 JPJ917608:JPJ917611 JZF917608:JZF917611 KJB917608:KJB917611 KSX917608:KSX917611 LCT917608:LCT917611 LMP917608:LMP917611 LWL917608:LWL917611 MGH917608:MGH917611 MQD917608:MQD917611 MZZ917608:MZZ917611 NJV917608:NJV917611 NTR917608:NTR917611 ODN917608:ODN917611 ONJ917608:ONJ917611 OXF917608:OXF917611 PHB917608:PHB917611 PQX917608:PQX917611 QAT917608:QAT917611 QKP917608:QKP917611 QUL917608:QUL917611 REH917608:REH917611 ROD917608:ROD917611 RXZ917608:RXZ917611 SHV917608:SHV917611 SRR917608:SRR917611 TBN917608:TBN917611 TLJ917608:TLJ917611 TVF917608:TVF917611 UFB917608:UFB917611 UOX917608:UOX917611 UYT917608:UYT917611 VIP917608:VIP917611 VSL917608:VSL917611 WCH917608:WCH917611 WMD917608:WMD917611 WVZ917608:WVZ917611 R983144:R983147 JN983144:JN983147 TJ983144:TJ983147 ADF983144:ADF983147 ANB983144:ANB983147 AWX983144:AWX983147 BGT983144:BGT983147 BQP983144:BQP983147 CAL983144:CAL983147 CKH983144:CKH983147 CUD983144:CUD983147 DDZ983144:DDZ983147 DNV983144:DNV983147 DXR983144:DXR983147 EHN983144:EHN983147 ERJ983144:ERJ983147 FBF983144:FBF983147 FLB983144:FLB983147 FUX983144:FUX983147 GET983144:GET983147 GOP983144:GOP983147 GYL983144:GYL983147 HIH983144:HIH983147 HSD983144:HSD983147 IBZ983144:IBZ983147 ILV983144:ILV983147 IVR983144:IVR983147 JFN983144:JFN983147 JPJ983144:JPJ983147 JZF983144:JZF983147 KJB983144:KJB983147 KSX983144:KSX983147 LCT983144:LCT983147 LMP983144:LMP983147 LWL983144:LWL983147 MGH983144:MGH983147 MQD983144:MQD983147 MZZ983144:MZZ983147 NJV983144:NJV983147 NTR983144:NTR983147 ODN983144:ODN983147 ONJ983144:ONJ983147 OXF983144:OXF983147 PHB983144:PHB983147 PQX983144:PQX983147 QAT983144:QAT983147 QKP983144:QKP983147 QUL983144:QUL983147 REH983144:REH983147 ROD983144:ROD983147 RXZ983144:RXZ983147 SHV983144:SHV983147 SRR983144:SRR983147 TBN983144:TBN983147 TLJ983144:TLJ983147 TVF983144:TVF983147 UFB983144:UFB983147 UOX983144:UOX983147 UYT983144:UYT983147 VIP983144:VIP983147 VSL983144:VSL983147 WCH983144:WCH983147 WMD983144:WMD983147 WVZ983144:WVZ983147 SHK983143 H65610:H65616 JD65610:JD65616 SZ65610:SZ65616 ACV65610:ACV65616 AMR65610:AMR65616 AWN65610:AWN65616 BGJ65610:BGJ65616 BQF65610:BQF65616 CAB65610:CAB65616 CJX65610:CJX65616 CTT65610:CTT65616 DDP65610:DDP65616 DNL65610:DNL65616 DXH65610:DXH65616 EHD65610:EHD65616 EQZ65610:EQZ65616 FAV65610:FAV65616 FKR65610:FKR65616 FUN65610:FUN65616 GEJ65610:GEJ65616 GOF65610:GOF65616 GYB65610:GYB65616 HHX65610:HHX65616 HRT65610:HRT65616 IBP65610:IBP65616 ILL65610:ILL65616 IVH65610:IVH65616 JFD65610:JFD65616 JOZ65610:JOZ65616 JYV65610:JYV65616 KIR65610:KIR65616 KSN65610:KSN65616 LCJ65610:LCJ65616 LMF65610:LMF65616 LWB65610:LWB65616 MFX65610:MFX65616 MPT65610:MPT65616 MZP65610:MZP65616 NJL65610:NJL65616 NTH65610:NTH65616 ODD65610:ODD65616 OMZ65610:OMZ65616 OWV65610:OWV65616 PGR65610:PGR65616 PQN65610:PQN65616 QAJ65610:QAJ65616 QKF65610:QKF65616 QUB65610:QUB65616 RDX65610:RDX65616 RNT65610:RNT65616 RXP65610:RXP65616 SHL65610:SHL65616 SRH65610:SRH65616 TBD65610:TBD65616 TKZ65610:TKZ65616 TUV65610:TUV65616 UER65610:UER65616 UON65610:UON65616 UYJ65610:UYJ65616 VIF65610:VIF65616 VSB65610:VSB65616 WBX65610:WBX65616 WLT65610:WLT65616 WVP65610:WVP65616 H131146:H131152 JD131146:JD131152 SZ131146:SZ131152 ACV131146:ACV131152 AMR131146:AMR131152 AWN131146:AWN131152 BGJ131146:BGJ131152 BQF131146:BQF131152 CAB131146:CAB131152 CJX131146:CJX131152 CTT131146:CTT131152 DDP131146:DDP131152 DNL131146:DNL131152 DXH131146:DXH131152 EHD131146:EHD131152 EQZ131146:EQZ131152 FAV131146:FAV131152 FKR131146:FKR131152 FUN131146:FUN131152 GEJ131146:GEJ131152 GOF131146:GOF131152 GYB131146:GYB131152 HHX131146:HHX131152 HRT131146:HRT131152 IBP131146:IBP131152 ILL131146:ILL131152 IVH131146:IVH131152 JFD131146:JFD131152 JOZ131146:JOZ131152 JYV131146:JYV131152 KIR131146:KIR131152 KSN131146:KSN131152 LCJ131146:LCJ131152 LMF131146:LMF131152 LWB131146:LWB131152 MFX131146:MFX131152 MPT131146:MPT131152 MZP131146:MZP131152 NJL131146:NJL131152 NTH131146:NTH131152 ODD131146:ODD131152 OMZ131146:OMZ131152 OWV131146:OWV131152 PGR131146:PGR131152 PQN131146:PQN131152 QAJ131146:QAJ131152 QKF131146:QKF131152 QUB131146:QUB131152 RDX131146:RDX131152 RNT131146:RNT131152 RXP131146:RXP131152 SHL131146:SHL131152 SRH131146:SRH131152 TBD131146:TBD131152 TKZ131146:TKZ131152 TUV131146:TUV131152 UER131146:UER131152 UON131146:UON131152 UYJ131146:UYJ131152 VIF131146:VIF131152 VSB131146:VSB131152 WBX131146:WBX131152 WLT131146:WLT131152 WVP131146:WVP131152 H196682:H196688 JD196682:JD196688 SZ196682:SZ196688 ACV196682:ACV196688 AMR196682:AMR196688 AWN196682:AWN196688 BGJ196682:BGJ196688 BQF196682:BQF196688 CAB196682:CAB196688 CJX196682:CJX196688 CTT196682:CTT196688 DDP196682:DDP196688 DNL196682:DNL196688 DXH196682:DXH196688 EHD196682:EHD196688 EQZ196682:EQZ196688 FAV196682:FAV196688 FKR196682:FKR196688 FUN196682:FUN196688 GEJ196682:GEJ196688 GOF196682:GOF196688 GYB196682:GYB196688 HHX196682:HHX196688 HRT196682:HRT196688 IBP196682:IBP196688 ILL196682:ILL196688 IVH196682:IVH196688 JFD196682:JFD196688 JOZ196682:JOZ196688 JYV196682:JYV196688 KIR196682:KIR196688 KSN196682:KSN196688 LCJ196682:LCJ196688 LMF196682:LMF196688 LWB196682:LWB196688 MFX196682:MFX196688 MPT196682:MPT196688 MZP196682:MZP196688 NJL196682:NJL196688 NTH196682:NTH196688 ODD196682:ODD196688 OMZ196682:OMZ196688 OWV196682:OWV196688 PGR196682:PGR196688 PQN196682:PQN196688 QAJ196682:QAJ196688 QKF196682:QKF196688 QUB196682:QUB196688 RDX196682:RDX196688 RNT196682:RNT196688 RXP196682:RXP196688 SHL196682:SHL196688 SRH196682:SRH196688 TBD196682:TBD196688 TKZ196682:TKZ196688 TUV196682:TUV196688 UER196682:UER196688 UON196682:UON196688 UYJ196682:UYJ196688 VIF196682:VIF196688 VSB196682:VSB196688 WBX196682:WBX196688 WLT196682:WLT196688 WVP196682:WVP196688 H262218:H262224 JD262218:JD262224 SZ262218:SZ262224 ACV262218:ACV262224 AMR262218:AMR262224 AWN262218:AWN262224 BGJ262218:BGJ262224 BQF262218:BQF262224 CAB262218:CAB262224 CJX262218:CJX262224 CTT262218:CTT262224 DDP262218:DDP262224 DNL262218:DNL262224 DXH262218:DXH262224 EHD262218:EHD262224 EQZ262218:EQZ262224 FAV262218:FAV262224 FKR262218:FKR262224 FUN262218:FUN262224 GEJ262218:GEJ262224 GOF262218:GOF262224 GYB262218:GYB262224 HHX262218:HHX262224 HRT262218:HRT262224 IBP262218:IBP262224 ILL262218:ILL262224 IVH262218:IVH262224 JFD262218:JFD262224 JOZ262218:JOZ262224 JYV262218:JYV262224 KIR262218:KIR262224 KSN262218:KSN262224 LCJ262218:LCJ262224 LMF262218:LMF262224 LWB262218:LWB262224 MFX262218:MFX262224 MPT262218:MPT262224 MZP262218:MZP262224 NJL262218:NJL262224 NTH262218:NTH262224 ODD262218:ODD262224 OMZ262218:OMZ262224 OWV262218:OWV262224 PGR262218:PGR262224 PQN262218:PQN262224 QAJ262218:QAJ262224 QKF262218:QKF262224 QUB262218:QUB262224 RDX262218:RDX262224 RNT262218:RNT262224 RXP262218:RXP262224 SHL262218:SHL262224 SRH262218:SRH262224 TBD262218:TBD262224 TKZ262218:TKZ262224 TUV262218:TUV262224 UER262218:UER262224 UON262218:UON262224 UYJ262218:UYJ262224 VIF262218:VIF262224 VSB262218:VSB262224 WBX262218:WBX262224 WLT262218:WLT262224 WVP262218:WVP262224 H327754:H327760 JD327754:JD327760 SZ327754:SZ327760 ACV327754:ACV327760 AMR327754:AMR327760 AWN327754:AWN327760 BGJ327754:BGJ327760 BQF327754:BQF327760 CAB327754:CAB327760 CJX327754:CJX327760 CTT327754:CTT327760 DDP327754:DDP327760 DNL327754:DNL327760 DXH327754:DXH327760 EHD327754:EHD327760 EQZ327754:EQZ327760 FAV327754:FAV327760 FKR327754:FKR327760 FUN327754:FUN327760 GEJ327754:GEJ327760 GOF327754:GOF327760 GYB327754:GYB327760 HHX327754:HHX327760 HRT327754:HRT327760 IBP327754:IBP327760 ILL327754:ILL327760 IVH327754:IVH327760 JFD327754:JFD327760 JOZ327754:JOZ327760 JYV327754:JYV327760 KIR327754:KIR327760 KSN327754:KSN327760 LCJ327754:LCJ327760 LMF327754:LMF327760 LWB327754:LWB327760 MFX327754:MFX327760 MPT327754:MPT327760 MZP327754:MZP327760 NJL327754:NJL327760 NTH327754:NTH327760 ODD327754:ODD327760 OMZ327754:OMZ327760 OWV327754:OWV327760 PGR327754:PGR327760 PQN327754:PQN327760 QAJ327754:QAJ327760 QKF327754:QKF327760 QUB327754:QUB327760 RDX327754:RDX327760 RNT327754:RNT327760 RXP327754:RXP327760 SHL327754:SHL327760 SRH327754:SRH327760 TBD327754:TBD327760 TKZ327754:TKZ327760 TUV327754:TUV327760 UER327754:UER327760 UON327754:UON327760 UYJ327754:UYJ327760 VIF327754:VIF327760 VSB327754:VSB327760 WBX327754:WBX327760 WLT327754:WLT327760 WVP327754:WVP327760 H393290:H393296 JD393290:JD393296 SZ393290:SZ393296 ACV393290:ACV393296 AMR393290:AMR393296 AWN393290:AWN393296 BGJ393290:BGJ393296 BQF393290:BQF393296 CAB393290:CAB393296 CJX393290:CJX393296 CTT393290:CTT393296 DDP393290:DDP393296 DNL393290:DNL393296 DXH393290:DXH393296 EHD393290:EHD393296 EQZ393290:EQZ393296 FAV393290:FAV393296 FKR393290:FKR393296 FUN393290:FUN393296 GEJ393290:GEJ393296 GOF393290:GOF393296 GYB393290:GYB393296 HHX393290:HHX393296 HRT393290:HRT393296 IBP393290:IBP393296 ILL393290:ILL393296 IVH393290:IVH393296 JFD393290:JFD393296 JOZ393290:JOZ393296 JYV393290:JYV393296 KIR393290:KIR393296 KSN393290:KSN393296 LCJ393290:LCJ393296 LMF393290:LMF393296 LWB393290:LWB393296 MFX393290:MFX393296 MPT393290:MPT393296 MZP393290:MZP393296 NJL393290:NJL393296 NTH393290:NTH393296 ODD393290:ODD393296 OMZ393290:OMZ393296 OWV393290:OWV393296 PGR393290:PGR393296 PQN393290:PQN393296 QAJ393290:QAJ393296 QKF393290:QKF393296 QUB393290:QUB393296 RDX393290:RDX393296 RNT393290:RNT393296 RXP393290:RXP393296 SHL393290:SHL393296 SRH393290:SRH393296 TBD393290:TBD393296 TKZ393290:TKZ393296 TUV393290:TUV393296 UER393290:UER393296 UON393290:UON393296 UYJ393290:UYJ393296 VIF393290:VIF393296 VSB393290:VSB393296 WBX393290:WBX393296 WLT393290:WLT393296 WVP393290:WVP393296 H458826:H458832 JD458826:JD458832 SZ458826:SZ458832 ACV458826:ACV458832 AMR458826:AMR458832 AWN458826:AWN458832 BGJ458826:BGJ458832 BQF458826:BQF458832 CAB458826:CAB458832 CJX458826:CJX458832 CTT458826:CTT458832 DDP458826:DDP458832 DNL458826:DNL458832 DXH458826:DXH458832 EHD458826:EHD458832 EQZ458826:EQZ458832 FAV458826:FAV458832 FKR458826:FKR458832 FUN458826:FUN458832 GEJ458826:GEJ458832 GOF458826:GOF458832 GYB458826:GYB458832 HHX458826:HHX458832 HRT458826:HRT458832 IBP458826:IBP458832 ILL458826:ILL458832 IVH458826:IVH458832 JFD458826:JFD458832 JOZ458826:JOZ458832 JYV458826:JYV458832 KIR458826:KIR458832 KSN458826:KSN458832 LCJ458826:LCJ458832 LMF458826:LMF458832 LWB458826:LWB458832 MFX458826:MFX458832 MPT458826:MPT458832 MZP458826:MZP458832 NJL458826:NJL458832 NTH458826:NTH458832 ODD458826:ODD458832 OMZ458826:OMZ458832 OWV458826:OWV458832 PGR458826:PGR458832 PQN458826:PQN458832 QAJ458826:QAJ458832 QKF458826:QKF458832 QUB458826:QUB458832 RDX458826:RDX458832 RNT458826:RNT458832 RXP458826:RXP458832 SHL458826:SHL458832 SRH458826:SRH458832 TBD458826:TBD458832 TKZ458826:TKZ458832 TUV458826:TUV458832 UER458826:UER458832 UON458826:UON458832 UYJ458826:UYJ458832 VIF458826:VIF458832 VSB458826:VSB458832 WBX458826:WBX458832 WLT458826:WLT458832 WVP458826:WVP458832 H524362:H524368 JD524362:JD524368 SZ524362:SZ524368 ACV524362:ACV524368 AMR524362:AMR524368 AWN524362:AWN524368 BGJ524362:BGJ524368 BQF524362:BQF524368 CAB524362:CAB524368 CJX524362:CJX524368 CTT524362:CTT524368 DDP524362:DDP524368 DNL524362:DNL524368 DXH524362:DXH524368 EHD524362:EHD524368 EQZ524362:EQZ524368 FAV524362:FAV524368 FKR524362:FKR524368 FUN524362:FUN524368 GEJ524362:GEJ524368 GOF524362:GOF524368 GYB524362:GYB524368 HHX524362:HHX524368 HRT524362:HRT524368 IBP524362:IBP524368 ILL524362:ILL524368 IVH524362:IVH524368 JFD524362:JFD524368 JOZ524362:JOZ524368 JYV524362:JYV524368 KIR524362:KIR524368 KSN524362:KSN524368 LCJ524362:LCJ524368 LMF524362:LMF524368 LWB524362:LWB524368 MFX524362:MFX524368 MPT524362:MPT524368 MZP524362:MZP524368 NJL524362:NJL524368 NTH524362:NTH524368 ODD524362:ODD524368 OMZ524362:OMZ524368 OWV524362:OWV524368 PGR524362:PGR524368 PQN524362:PQN524368 QAJ524362:QAJ524368 QKF524362:QKF524368 QUB524362:QUB524368 RDX524362:RDX524368 RNT524362:RNT524368 RXP524362:RXP524368 SHL524362:SHL524368 SRH524362:SRH524368 TBD524362:TBD524368 TKZ524362:TKZ524368 TUV524362:TUV524368 UER524362:UER524368 UON524362:UON524368 UYJ524362:UYJ524368 VIF524362:VIF524368 VSB524362:VSB524368 WBX524362:WBX524368 WLT524362:WLT524368 WVP524362:WVP524368 H589898:H589904 JD589898:JD589904 SZ589898:SZ589904 ACV589898:ACV589904 AMR589898:AMR589904 AWN589898:AWN589904 BGJ589898:BGJ589904 BQF589898:BQF589904 CAB589898:CAB589904 CJX589898:CJX589904 CTT589898:CTT589904 DDP589898:DDP589904 DNL589898:DNL589904 DXH589898:DXH589904 EHD589898:EHD589904 EQZ589898:EQZ589904 FAV589898:FAV589904 FKR589898:FKR589904 FUN589898:FUN589904 GEJ589898:GEJ589904 GOF589898:GOF589904 GYB589898:GYB589904 HHX589898:HHX589904 HRT589898:HRT589904 IBP589898:IBP589904 ILL589898:ILL589904 IVH589898:IVH589904 JFD589898:JFD589904 JOZ589898:JOZ589904 JYV589898:JYV589904 KIR589898:KIR589904 KSN589898:KSN589904 LCJ589898:LCJ589904 LMF589898:LMF589904 LWB589898:LWB589904 MFX589898:MFX589904 MPT589898:MPT589904 MZP589898:MZP589904 NJL589898:NJL589904 NTH589898:NTH589904 ODD589898:ODD589904 OMZ589898:OMZ589904 OWV589898:OWV589904 PGR589898:PGR589904 PQN589898:PQN589904 QAJ589898:QAJ589904 QKF589898:QKF589904 QUB589898:QUB589904 RDX589898:RDX589904 RNT589898:RNT589904 RXP589898:RXP589904 SHL589898:SHL589904 SRH589898:SRH589904 TBD589898:TBD589904 TKZ589898:TKZ589904 TUV589898:TUV589904 UER589898:UER589904 UON589898:UON589904 UYJ589898:UYJ589904 VIF589898:VIF589904 VSB589898:VSB589904 WBX589898:WBX589904 WLT589898:WLT589904 WVP589898:WVP589904 H655434:H655440 JD655434:JD655440 SZ655434:SZ655440 ACV655434:ACV655440 AMR655434:AMR655440 AWN655434:AWN655440 BGJ655434:BGJ655440 BQF655434:BQF655440 CAB655434:CAB655440 CJX655434:CJX655440 CTT655434:CTT655440 DDP655434:DDP655440 DNL655434:DNL655440 DXH655434:DXH655440 EHD655434:EHD655440 EQZ655434:EQZ655440 FAV655434:FAV655440 FKR655434:FKR655440 FUN655434:FUN655440 GEJ655434:GEJ655440 GOF655434:GOF655440 GYB655434:GYB655440 HHX655434:HHX655440 HRT655434:HRT655440 IBP655434:IBP655440 ILL655434:ILL655440 IVH655434:IVH655440 JFD655434:JFD655440 JOZ655434:JOZ655440 JYV655434:JYV655440 KIR655434:KIR655440 KSN655434:KSN655440 LCJ655434:LCJ655440 LMF655434:LMF655440 LWB655434:LWB655440 MFX655434:MFX655440 MPT655434:MPT655440 MZP655434:MZP655440 NJL655434:NJL655440 NTH655434:NTH655440 ODD655434:ODD655440 OMZ655434:OMZ655440 OWV655434:OWV655440 PGR655434:PGR655440 PQN655434:PQN655440 QAJ655434:QAJ655440 QKF655434:QKF655440 QUB655434:QUB655440 RDX655434:RDX655440 RNT655434:RNT655440 RXP655434:RXP655440 SHL655434:SHL655440 SRH655434:SRH655440 TBD655434:TBD655440 TKZ655434:TKZ655440 TUV655434:TUV655440 UER655434:UER655440 UON655434:UON655440 UYJ655434:UYJ655440 VIF655434:VIF655440 VSB655434:VSB655440 WBX655434:WBX655440 WLT655434:WLT655440 WVP655434:WVP655440 H720970:H720976 JD720970:JD720976 SZ720970:SZ720976 ACV720970:ACV720976 AMR720970:AMR720976 AWN720970:AWN720976 BGJ720970:BGJ720976 BQF720970:BQF720976 CAB720970:CAB720976 CJX720970:CJX720976 CTT720970:CTT720976 DDP720970:DDP720976 DNL720970:DNL720976 DXH720970:DXH720976 EHD720970:EHD720976 EQZ720970:EQZ720976 FAV720970:FAV720976 FKR720970:FKR720976 FUN720970:FUN720976 GEJ720970:GEJ720976 GOF720970:GOF720976 GYB720970:GYB720976 HHX720970:HHX720976 HRT720970:HRT720976 IBP720970:IBP720976 ILL720970:ILL720976 IVH720970:IVH720976 JFD720970:JFD720976 JOZ720970:JOZ720976 JYV720970:JYV720976 KIR720970:KIR720976 KSN720970:KSN720976 LCJ720970:LCJ720976 LMF720970:LMF720976 LWB720970:LWB720976 MFX720970:MFX720976 MPT720970:MPT720976 MZP720970:MZP720976 NJL720970:NJL720976 NTH720970:NTH720976 ODD720970:ODD720976 OMZ720970:OMZ720976 OWV720970:OWV720976 PGR720970:PGR720976 PQN720970:PQN720976 QAJ720970:QAJ720976 QKF720970:QKF720976 QUB720970:QUB720976 RDX720970:RDX720976 RNT720970:RNT720976 RXP720970:RXP720976 SHL720970:SHL720976 SRH720970:SRH720976 TBD720970:TBD720976 TKZ720970:TKZ720976 TUV720970:TUV720976 UER720970:UER720976 UON720970:UON720976 UYJ720970:UYJ720976 VIF720970:VIF720976 VSB720970:VSB720976 WBX720970:WBX720976 WLT720970:WLT720976 WVP720970:WVP720976 H786506:H786512 JD786506:JD786512 SZ786506:SZ786512 ACV786506:ACV786512 AMR786506:AMR786512 AWN786506:AWN786512 BGJ786506:BGJ786512 BQF786506:BQF786512 CAB786506:CAB786512 CJX786506:CJX786512 CTT786506:CTT786512 DDP786506:DDP786512 DNL786506:DNL786512 DXH786506:DXH786512 EHD786506:EHD786512 EQZ786506:EQZ786512 FAV786506:FAV786512 FKR786506:FKR786512 FUN786506:FUN786512 GEJ786506:GEJ786512 GOF786506:GOF786512 GYB786506:GYB786512 HHX786506:HHX786512 HRT786506:HRT786512 IBP786506:IBP786512 ILL786506:ILL786512 IVH786506:IVH786512 JFD786506:JFD786512 JOZ786506:JOZ786512 JYV786506:JYV786512 KIR786506:KIR786512 KSN786506:KSN786512 LCJ786506:LCJ786512 LMF786506:LMF786512 LWB786506:LWB786512 MFX786506:MFX786512 MPT786506:MPT786512 MZP786506:MZP786512 NJL786506:NJL786512 NTH786506:NTH786512 ODD786506:ODD786512 OMZ786506:OMZ786512 OWV786506:OWV786512 PGR786506:PGR786512 PQN786506:PQN786512 QAJ786506:QAJ786512 QKF786506:QKF786512 QUB786506:QUB786512 RDX786506:RDX786512 RNT786506:RNT786512 RXP786506:RXP786512 SHL786506:SHL786512 SRH786506:SRH786512 TBD786506:TBD786512 TKZ786506:TKZ786512 TUV786506:TUV786512 UER786506:UER786512 UON786506:UON786512 UYJ786506:UYJ786512 VIF786506:VIF786512 VSB786506:VSB786512 WBX786506:WBX786512 WLT786506:WLT786512 WVP786506:WVP786512 H852042:H852048 JD852042:JD852048 SZ852042:SZ852048 ACV852042:ACV852048 AMR852042:AMR852048 AWN852042:AWN852048 BGJ852042:BGJ852048 BQF852042:BQF852048 CAB852042:CAB852048 CJX852042:CJX852048 CTT852042:CTT852048 DDP852042:DDP852048 DNL852042:DNL852048 DXH852042:DXH852048 EHD852042:EHD852048 EQZ852042:EQZ852048 FAV852042:FAV852048 FKR852042:FKR852048 FUN852042:FUN852048 GEJ852042:GEJ852048 GOF852042:GOF852048 GYB852042:GYB852048 HHX852042:HHX852048 HRT852042:HRT852048 IBP852042:IBP852048 ILL852042:ILL852048 IVH852042:IVH852048 JFD852042:JFD852048 JOZ852042:JOZ852048 JYV852042:JYV852048 KIR852042:KIR852048 KSN852042:KSN852048 LCJ852042:LCJ852048 LMF852042:LMF852048 LWB852042:LWB852048 MFX852042:MFX852048 MPT852042:MPT852048 MZP852042:MZP852048 NJL852042:NJL852048 NTH852042:NTH852048 ODD852042:ODD852048 OMZ852042:OMZ852048 OWV852042:OWV852048 PGR852042:PGR852048 PQN852042:PQN852048 QAJ852042:QAJ852048 QKF852042:QKF852048 QUB852042:QUB852048 RDX852042:RDX852048 RNT852042:RNT852048 RXP852042:RXP852048 SHL852042:SHL852048 SRH852042:SRH852048 TBD852042:TBD852048 TKZ852042:TKZ852048 TUV852042:TUV852048 UER852042:UER852048 UON852042:UON852048 UYJ852042:UYJ852048 VIF852042:VIF852048 VSB852042:VSB852048 WBX852042:WBX852048 WLT852042:WLT852048 WVP852042:WVP852048 H917578:H917584 JD917578:JD917584 SZ917578:SZ917584 ACV917578:ACV917584 AMR917578:AMR917584 AWN917578:AWN917584 BGJ917578:BGJ917584 BQF917578:BQF917584 CAB917578:CAB917584 CJX917578:CJX917584 CTT917578:CTT917584 DDP917578:DDP917584 DNL917578:DNL917584 DXH917578:DXH917584 EHD917578:EHD917584 EQZ917578:EQZ917584 FAV917578:FAV917584 FKR917578:FKR917584 FUN917578:FUN917584 GEJ917578:GEJ917584 GOF917578:GOF917584 GYB917578:GYB917584 HHX917578:HHX917584 HRT917578:HRT917584 IBP917578:IBP917584 ILL917578:ILL917584 IVH917578:IVH917584 JFD917578:JFD917584 JOZ917578:JOZ917584 JYV917578:JYV917584 KIR917578:KIR917584 KSN917578:KSN917584 LCJ917578:LCJ917584 LMF917578:LMF917584 LWB917578:LWB917584 MFX917578:MFX917584 MPT917578:MPT917584 MZP917578:MZP917584 NJL917578:NJL917584 NTH917578:NTH917584 ODD917578:ODD917584 OMZ917578:OMZ917584 OWV917578:OWV917584 PGR917578:PGR917584 PQN917578:PQN917584 QAJ917578:QAJ917584 QKF917578:QKF917584 QUB917578:QUB917584 RDX917578:RDX917584 RNT917578:RNT917584 RXP917578:RXP917584 SHL917578:SHL917584 SRH917578:SRH917584 TBD917578:TBD917584 TKZ917578:TKZ917584 TUV917578:TUV917584 UER917578:UER917584 UON917578:UON917584 UYJ917578:UYJ917584 VIF917578:VIF917584 VSB917578:VSB917584 WBX917578:WBX917584 WLT917578:WLT917584 WVP917578:WVP917584 H983114:H983120 JD983114:JD983120 SZ983114:SZ983120 ACV983114:ACV983120 AMR983114:AMR983120 AWN983114:AWN983120 BGJ983114:BGJ983120 BQF983114:BQF983120 CAB983114:CAB983120 CJX983114:CJX983120 CTT983114:CTT983120 DDP983114:DDP983120 DNL983114:DNL983120 DXH983114:DXH983120 EHD983114:EHD983120 EQZ983114:EQZ983120 FAV983114:FAV983120 FKR983114:FKR983120 FUN983114:FUN983120 GEJ983114:GEJ983120 GOF983114:GOF983120 GYB983114:GYB983120 HHX983114:HHX983120 HRT983114:HRT983120 IBP983114:IBP983120 ILL983114:ILL983120 IVH983114:IVH983120 JFD983114:JFD983120 JOZ983114:JOZ983120 JYV983114:JYV983120 KIR983114:KIR983120 KSN983114:KSN983120 LCJ983114:LCJ983120 LMF983114:LMF983120 LWB983114:LWB983120 MFX983114:MFX983120 MPT983114:MPT983120 MZP983114:MZP983120 NJL983114:NJL983120 NTH983114:NTH983120 ODD983114:ODD983120 OMZ983114:OMZ983120 OWV983114:OWV983120 PGR983114:PGR983120 PQN983114:PQN983120 QAJ983114:QAJ983120 QKF983114:QKF983120 QUB983114:QUB983120 RDX983114:RDX983120 RNT983114:RNT983120 RXP983114:RXP983120 SHL983114:SHL983120 SRH983114:SRH983120 TBD983114:TBD983120 TKZ983114:TKZ983120 TUV983114:TUV983120 UER983114:UER983120 UON983114:UON983120 UYJ983114:UYJ983120 VIF983114:VIF983120 VSB983114:VSB983120 WBX983114:WBX983120 WLT983114:WLT983120 WVP983114:WVP983120 JP104 TL104 ADH104 AND104 AWZ104 BGV104 BQR104 CAN104 CKJ104 CUF104 DEB104 DNX104 DXT104 EHP104 ERL104 FBH104 FLD104 FUZ104 GEV104 GOR104 GYN104 HIJ104 HSF104 ICB104 ILX104 IVT104 JFP104 JPL104 JZH104 KJD104 KSZ104 LCV104 LMR104 LWN104 MGJ104 MQF104 NAB104 NJX104 NTT104 ODP104 ONL104 OXH104 PHD104 PQZ104 QAV104 QKR104 QUN104 REJ104 ROF104 RYB104 SHX104 SRT104 TBP104 TLL104 TVH104 UFD104 UOZ104 UYV104 VIR104 VSN104 WCJ104 WMF104 WWB104 T65639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T131175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T196711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T262247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T327783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T393319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T458855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T524391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T589927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T655463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T720999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T786535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T852071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T917607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T983143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JC104 SY104 ACU104 AMQ104 AWM104 BGI104 BQE104 CAA104 CJW104 CTS104 DDO104 DNK104 DXG104 EHC104 EQY104 FAU104 FKQ104 FUM104 GEI104 GOE104 GYA104 HHW104 HRS104 IBO104 ILK104 IVG104 JFC104 JOY104 JYU104 KIQ104 KSM104 LCI104 LME104 LWA104 MFW104 MPS104 MZO104 NJK104 NTG104 ODC104 OMY104 OWU104 PGQ104 PQM104 QAI104 QKE104 QUA104 RDW104 RNS104 RXO104 SHK104 SRG104 TBC104 TKY104 TUU104 UEQ104 UOM104 UYI104 VIE104 VSA104 WBW104 WLS104 WVO104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WVP71:WVP77 WLT71:WLT77 WBX71:WBX77 VSB71:VSB77 VIF71:VIF77 UYJ71:UYJ77 UON71:UON77 UER71:UER77 TUV71:TUV77 TKZ71:TKZ77 TBD71:TBD77 SRH71:SRH77 SHL71:SHL77 RXP71:RXP77 RNT71:RNT77 RDX71:RDX77 QUB71:QUB77 QKF71:QKF77 QAJ71:QAJ77 PQN71:PQN77 PGR71:PGR77 OWV71:OWV77 OMZ71:OMZ77 ODD71:ODD77 NTH71:NTH77 NJL71:NJL77 MZP71:MZP77 MPT71:MPT77 MFX71:MFX77 LWB71:LWB77 LMF71:LMF77 LCJ71:LCJ77 KSN71:KSN77 KIR71:KIR77 JYV71:JYV77 JOZ71:JOZ77 JFD71:JFD77 IVH71:IVH77 ILL71:ILL77 IBP71:IBP77 HRT71:HRT77 HHX71:HHX77 GYB71:GYB77 GOF71:GOF77 GEJ71:GEJ77 FUN71:FUN77 FKR71:FKR77 FAV71:FAV77 EQZ71:EQZ77 EHD71:EHD77 DXH71:DXH77 DNL71:DNL77 DDP71:DDP77 CTT71:CTT77 CJX71:CJX77 CAB71:CAB77 BQF71:BQF77 BGJ71:BGJ77 AWN71:AWN77 AMR71:AMR77 ACV71:ACV77 SZ71:SZ77 JD71:JD77 WWD71:WWD77 WMH71:WMH77 WCL71:WCL77 VSP71:VSP77 VIT71:VIT77 UYX71:UYX77 UPB71:UPB77 UFF71:UFF77 TVJ71:TVJ77 TLN71:TLN77 TBR71:TBR77 SRV71:SRV77 SHZ71:SHZ77 RYD71:RYD77 ROH71:ROH77 REL71:REL77 QUP71:QUP77 QKT71:QKT77 QAX71:QAX77 PRB71:PRB77 PHF71:PHF77 OXJ71:OXJ77 ONN71:ONN77 ODR71:ODR77 NTV71:NTV77 NJZ71:NJZ77 NAD71:NAD77 MQH71:MQH77 MGL71:MGL77 LWP71:LWP77 LMT71:LMT77 LCX71:LCX77 KTB71:KTB77 KJF71:KJF77 JZJ71:JZJ77 JPN71:JPN77 JFR71:JFR77 IVV71:IVV77 ILZ71:ILZ77 ICD71:ICD77 HSH71:HSH77 HIL71:HIL77 GYP71:GYP77 GOT71:GOT77 GEX71:GEX77 FVB71:FVB77 FLF71:FLF77 FBJ71:FBJ77 ERN71:ERN77 EHR71:EHR77 DXV71:DXV77 DNZ71:DNZ77 DED71:DED77 CUH71:CUH77 CKL71:CKL77 CAP71:CAP77 BQT71:BQT77 BGX71:BGX77 AXB71:AXB77 ANF71:ANF77 ADJ71:ADJ77 TN71:TN77 JR71:JR77 WVW71:WVW77 WMA71:WMA77 WCE71:WCE77 VSI71:VSI77 VIM71:VIM77 UYQ71:UYQ77 UOU71:UOU77 UEY71:UEY77 TVC71:TVC77 TLG71:TLG77 TBK71:TBK77 SRO71:SRO77 SHS71:SHS77 RXW71:RXW77 ROA71:ROA77 REE71:REE77 QUI71:QUI77 QKM71:QKM77 QAQ71:QAQ77 PQU71:PQU77 PGY71:PGY77 OXC71:OXC77 ONG71:ONG77 ODK71:ODK77 NTO71:NTO77 NJS71:NJS77 MZW71:MZW77 MQA71:MQA77 MGE71:MGE77 LWI71:LWI77 LMM71:LMM77 LCQ71:LCQ77 KSU71:KSU77 KIY71:KIY77 JZC71:JZC77 JPG71:JPG77 JFK71:JFK77 IVO71:IVO77 ILS71:ILS77 IBW71:IBW77 HSA71:HSA77 HIE71:HIE77 GYI71:GYI77 GOM71:GOM77 GEQ71:GEQ77 FUU71:FUU77 FKY71:FKY77 ANG105:ANG107 WVZ105:WVZ107 WMD105:WMD107 WCH105:WCH107 VSL105:VSL107 VIP105:VIP107 UYT105:UYT107 UOX105:UOX107 UFB105:UFB107 TVF105:TVF107 TLJ105:TLJ107 TBN105:TBN107 SRR105:SRR107 SHV105:SHV107 RXZ105:RXZ107 ROD105:ROD107 REH105:REH107 QUL105:QUL107 QKP105:QKP107 QAT105:QAT107 PQX105:PQX107 PHB105:PHB107 OXF105:OXF107 ONJ105:ONJ107 ODN105:ODN107 NTR105:NTR107 NJV105:NJV107 MZZ105:MZZ107 MQD105:MQD107 MGH105:MGH107 LWL105:LWL107 LMP105:LMP107 LCT105:LCT107 KSX105:KSX107 KJB105:KJB107 JZF105:JZF107 JPJ105:JPJ107 JFN105:JFN107 IVR105:IVR107 ILV105:ILV107 IBZ105:IBZ107 HSD105:HSD107 HIH105:HIH107 GYL105:GYL107 GOP105:GOP107 GET105:GET107 FUX105:FUX107 FLB105:FLB107 FBF105:FBF107 ERJ105:ERJ107 EHN105:EHN107 DXR105:DXR107 DNV105:DNV107 DDZ105:DDZ107 CUD105:CUD107 CKH105:CKH107 CAL105:CAL107 BQP105:BQP107 BGT105:BGT107 AWX105:AWX107 ANB105:ANB107 ADF105:ADF107 TJ105:TJ107 JN105:JN107 WVU104:WVU107 WLY104:WLY107 WCC104:WCC107 VSG104:VSG107 VIK104:VIK107 UYO104:UYO107 UOS104:UOS107 UEW104:UEW107 TVA104:TVA107 TLE104:TLE107 TBI104:TBI107 SRM104:SRM107 SHQ104:SHQ107 RXU104:RXU107 RNY104:RNY107 REC104:REC107 QUG104:QUG107 QKK104:QKK107 QAO104:QAO107 PQS104:PQS107 PGW104:PGW107 OXA104:OXA107 ONE104:ONE107 ODI104:ODI107 NTM104:NTM107 NJQ104:NJQ107 MZU104:MZU107 MPY104:MPY107 MGC104:MGC107 LWG104:LWG107 LMK104:LMK107 LCO104:LCO107 KSS104:KSS107 KIW104:KIW107 JZA104:JZA107 JPE104:JPE107 JFI104:JFI107 IVM104:IVM107 ILQ104:ILQ107 IBU104:IBU107 HRY104:HRY107 HIC104:HIC107 GYG104:GYG107 GOK104:GOK107 GEO104:GEO107 FUS104:FUS107 FKW104:FKW107 FBA104:FBA107 ERE104:ERE107 EHI104:EHI107 DXM104:DXM107 DNQ104:DNQ107 DDU104:DDU107 CTY104:CTY107 CKC104:CKC107 CAG104:CAG107 BQK104:BQK107 BGO104:BGO107 AWS104:AWS107 AMW104:AMW107 ADA104:ADA107 TE104:TE107 JI104:JI107 WWE105:WWE107 WMI105:WMI107 WCM105:WCM107 VSQ105:VSQ107 VIU105:VIU107 UYY105:UYY107 UPC105:UPC107 UFG105:UFG107 TVK105:TVK107 TLO105:TLO107 TBS105:TBS107 SRW105:SRW107 SIA105:SIA107 RYE105:RYE107 ROI105:ROI107 REM105:REM107 QUQ105:QUQ107 QKU105:QKU107 QAY105:QAY107 PRC105:PRC107 PHG105:PHG107 OXK105:OXK107 ONO105:ONO107 ODS105:ODS107 NTW105:NTW107 NKA105:NKA107 NAE105:NAE107 MQI105:MQI107 MGM105:MGM107 LWQ105:LWQ107 LMU105:LMU107 LCY105:LCY107 KTC105:KTC107 KJG105:KJG107 JZK105:JZK107 JPO105:JPO107 JFS105:JFS107 IVW105:IVW107 IMA105:IMA107 ICE105:ICE107 HSI105:HSI107 HIM105:HIM107 GYQ105:GYQ107 GOU105:GOU107 GEY105:GEY107 FVC105:FVC107 FLG105:FLG107 FBK105:FBK107 ERO105:ERO107 EHS105:EHS107 DXW105:DXW107 DOA105:DOA107 DEE105:DEE107 CUI105:CUI107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heetViews>
  <sheetFormatPr defaultColWidth="2.625" defaultRowHeight="16.5" customHeight="1"/>
  <cols>
    <col min="1" max="1" width="14.625" style="16" customWidth="1"/>
    <col min="2" max="2" width="7.625" style="16" customWidth="1"/>
    <col min="3" max="3" width="20.625" style="16" customWidth="1"/>
    <col min="4" max="4" width="6.5" style="16" customWidth="1"/>
    <col min="5" max="5" width="9.75" style="16" customWidth="1"/>
    <col min="6" max="6" width="20" style="16" customWidth="1"/>
    <col min="7" max="7" width="12.375" style="16" customWidth="1"/>
    <col min="8" max="256" width="2.625" style="16" customWidth="1"/>
    <col min="257" max="257" width="14.625" style="16" customWidth="1"/>
    <col min="258" max="258" width="7.625" style="16" customWidth="1"/>
    <col min="259" max="259" width="20.625" style="16" customWidth="1"/>
    <col min="260" max="260" width="6.5" style="16" customWidth="1"/>
    <col min="261" max="261" width="9.75" style="16" customWidth="1"/>
    <col min="262" max="262" width="20" style="16" customWidth="1"/>
    <col min="263" max="263" width="12.375" style="16" customWidth="1"/>
    <col min="264" max="512" width="2.625" style="16" customWidth="1"/>
    <col min="513" max="513" width="14.625" style="16" customWidth="1"/>
    <col min="514" max="514" width="7.625" style="16" customWidth="1"/>
    <col min="515" max="515" width="20.625" style="16" customWidth="1"/>
    <col min="516" max="516" width="6.5" style="16" customWidth="1"/>
    <col min="517" max="517" width="9.75" style="16" customWidth="1"/>
    <col min="518" max="518" width="20" style="16" customWidth="1"/>
    <col min="519" max="519" width="12.375" style="16" customWidth="1"/>
    <col min="520" max="768" width="2.625" style="16" customWidth="1"/>
    <col min="769" max="769" width="14.625" style="16" customWidth="1"/>
    <col min="770" max="770" width="7.625" style="16" customWidth="1"/>
    <col min="771" max="771" width="20.625" style="16" customWidth="1"/>
    <col min="772" max="772" width="6.5" style="16" customWidth="1"/>
    <col min="773" max="773" width="9.75" style="16" customWidth="1"/>
    <col min="774" max="774" width="20" style="16" customWidth="1"/>
    <col min="775" max="775" width="12.375" style="16" customWidth="1"/>
    <col min="776" max="1024" width="2.625" style="16" customWidth="1"/>
    <col min="1025" max="1025" width="14.625" style="16" customWidth="1"/>
    <col min="1026" max="1026" width="7.625" style="16" customWidth="1"/>
    <col min="1027" max="1027" width="20.625" style="16" customWidth="1"/>
    <col min="1028" max="1028" width="6.5" style="16" customWidth="1"/>
    <col min="1029" max="1029" width="9.75" style="16" customWidth="1"/>
    <col min="1030" max="1030" width="20" style="16" customWidth="1"/>
    <col min="1031" max="1031" width="12.375" style="16" customWidth="1"/>
    <col min="1032" max="1280" width="2.625" style="16" customWidth="1"/>
    <col min="1281" max="1281" width="14.625" style="16" customWidth="1"/>
    <col min="1282" max="1282" width="7.625" style="16" customWidth="1"/>
    <col min="1283" max="1283" width="20.625" style="16" customWidth="1"/>
    <col min="1284" max="1284" width="6.5" style="16" customWidth="1"/>
    <col min="1285" max="1285" width="9.75" style="16" customWidth="1"/>
    <col min="1286" max="1286" width="20" style="16" customWidth="1"/>
    <col min="1287" max="1287" width="12.375" style="16" customWidth="1"/>
    <col min="1288" max="1536" width="2.625" style="16" customWidth="1"/>
    <col min="1537" max="1537" width="14.625" style="16" customWidth="1"/>
    <col min="1538" max="1538" width="7.625" style="16" customWidth="1"/>
    <col min="1539" max="1539" width="20.625" style="16" customWidth="1"/>
    <col min="1540" max="1540" width="6.5" style="16" customWidth="1"/>
    <col min="1541" max="1541" width="9.75" style="16" customWidth="1"/>
    <col min="1542" max="1542" width="20" style="16" customWidth="1"/>
    <col min="1543" max="1543" width="12.375" style="16" customWidth="1"/>
    <col min="1544" max="1792" width="2.625" style="16" customWidth="1"/>
    <col min="1793" max="1793" width="14.625" style="16" customWidth="1"/>
    <col min="1794" max="1794" width="7.625" style="16" customWidth="1"/>
    <col min="1795" max="1795" width="20.625" style="16" customWidth="1"/>
    <col min="1796" max="1796" width="6.5" style="16" customWidth="1"/>
    <col min="1797" max="1797" width="9.75" style="16" customWidth="1"/>
    <col min="1798" max="1798" width="20" style="16" customWidth="1"/>
    <col min="1799" max="1799" width="12.375" style="16" customWidth="1"/>
    <col min="1800" max="2048" width="2.625" style="16" customWidth="1"/>
    <col min="2049" max="2049" width="14.625" style="16" customWidth="1"/>
    <col min="2050" max="2050" width="7.625" style="16" customWidth="1"/>
    <col min="2051" max="2051" width="20.625" style="16" customWidth="1"/>
    <col min="2052" max="2052" width="6.5" style="16" customWidth="1"/>
    <col min="2053" max="2053" width="9.75" style="16" customWidth="1"/>
    <col min="2054" max="2054" width="20" style="16" customWidth="1"/>
    <col min="2055" max="2055" width="12.375" style="16" customWidth="1"/>
    <col min="2056" max="2304" width="2.625" style="16" customWidth="1"/>
    <col min="2305" max="2305" width="14.625" style="16" customWidth="1"/>
    <col min="2306" max="2306" width="7.625" style="16" customWidth="1"/>
    <col min="2307" max="2307" width="20.625" style="16" customWidth="1"/>
    <col min="2308" max="2308" width="6.5" style="16" customWidth="1"/>
    <col min="2309" max="2309" width="9.75" style="16" customWidth="1"/>
    <col min="2310" max="2310" width="20" style="16" customWidth="1"/>
    <col min="2311" max="2311" width="12.375" style="16" customWidth="1"/>
    <col min="2312" max="2560" width="2.625" style="16" customWidth="1"/>
    <col min="2561" max="2561" width="14.625" style="16" customWidth="1"/>
    <col min="2562" max="2562" width="7.625" style="16" customWidth="1"/>
    <col min="2563" max="2563" width="20.625" style="16" customWidth="1"/>
    <col min="2564" max="2564" width="6.5" style="16" customWidth="1"/>
    <col min="2565" max="2565" width="9.75" style="16" customWidth="1"/>
    <col min="2566" max="2566" width="20" style="16" customWidth="1"/>
    <col min="2567" max="2567" width="12.375" style="16" customWidth="1"/>
    <col min="2568" max="2816" width="2.625" style="16" customWidth="1"/>
    <col min="2817" max="2817" width="14.625" style="16" customWidth="1"/>
    <col min="2818" max="2818" width="7.625" style="16" customWidth="1"/>
    <col min="2819" max="2819" width="20.625" style="16" customWidth="1"/>
    <col min="2820" max="2820" width="6.5" style="16" customWidth="1"/>
    <col min="2821" max="2821" width="9.75" style="16" customWidth="1"/>
    <col min="2822" max="2822" width="20" style="16" customWidth="1"/>
    <col min="2823" max="2823" width="12.375" style="16" customWidth="1"/>
    <col min="2824" max="3072" width="2.625" style="16" customWidth="1"/>
    <col min="3073" max="3073" width="14.625" style="16" customWidth="1"/>
    <col min="3074" max="3074" width="7.625" style="16" customWidth="1"/>
    <col min="3075" max="3075" width="20.625" style="16" customWidth="1"/>
    <col min="3076" max="3076" width="6.5" style="16" customWidth="1"/>
    <col min="3077" max="3077" width="9.75" style="16" customWidth="1"/>
    <col min="3078" max="3078" width="20" style="16" customWidth="1"/>
    <col min="3079" max="3079" width="12.375" style="16" customWidth="1"/>
    <col min="3080" max="3328" width="2.625" style="16" customWidth="1"/>
    <col min="3329" max="3329" width="14.625" style="16" customWidth="1"/>
    <col min="3330" max="3330" width="7.625" style="16" customWidth="1"/>
    <col min="3331" max="3331" width="20.625" style="16" customWidth="1"/>
    <col min="3332" max="3332" width="6.5" style="16" customWidth="1"/>
    <col min="3333" max="3333" width="9.75" style="16" customWidth="1"/>
    <col min="3334" max="3334" width="20" style="16" customWidth="1"/>
    <col min="3335" max="3335" width="12.375" style="16" customWidth="1"/>
    <col min="3336" max="3584" width="2.625" style="16" customWidth="1"/>
    <col min="3585" max="3585" width="14.625" style="16" customWidth="1"/>
    <col min="3586" max="3586" width="7.625" style="16" customWidth="1"/>
    <col min="3587" max="3587" width="20.625" style="16" customWidth="1"/>
    <col min="3588" max="3588" width="6.5" style="16" customWidth="1"/>
    <col min="3589" max="3589" width="9.75" style="16" customWidth="1"/>
    <col min="3590" max="3590" width="20" style="16" customWidth="1"/>
    <col min="3591" max="3591" width="12.375" style="16" customWidth="1"/>
    <col min="3592" max="3840" width="2.625" style="16" customWidth="1"/>
    <col min="3841" max="3841" width="14.625" style="16" customWidth="1"/>
    <col min="3842" max="3842" width="7.625" style="16" customWidth="1"/>
    <col min="3843" max="3843" width="20.625" style="16" customWidth="1"/>
    <col min="3844" max="3844" width="6.5" style="16" customWidth="1"/>
    <col min="3845" max="3845" width="9.75" style="16" customWidth="1"/>
    <col min="3846" max="3846" width="20" style="16" customWidth="1"/>
    <col min="3847" max="3847" width="12.375" style="16" customWidth="1"/>
    <col min="3848" max="4096" width="2.625" style="16" customWidth="1"/>
    <col min="4097" max="4097" width="14.625" style="16" customWidth="1"/>
    <col min="4098" max="4098" width="7.625" style="16" customWidth="1"/>
    <col min="4099" max="4099" width="20.625" style="16" customWidth="1"/>
    <col min="4100" max="4100" width="6.5" style="16" customWidth="1"/>
    <col min="4101" max="4101" width="9.75" style="16" customWidth="1"/>
    <col min="4102" max="4102" width="20" style="16" customWidth="1"/>
    <col min="4103" max="4103" width="12.375" style="16" customWidth="1"/>
    <col min="4104" max="4352" width="2.625" style="16" customWidth="1"/>
    <col min="4353" max="4353" width="14.625" style="16" customWidth="1"/>
    <col min="4354" max="4354" width="7.625" style="16" customWidth="1"/>
    <col min="4355" max="4355" width="20.625" style="16" customWidth="1"/>
    <col min="4356" max="4356" width="6.5" style="16" customWidth="1"/>
    <col min="4357" max="4357" width="9.75" style="16" customWidth="1"/>
    <col min="4358" max="4358" width="20" style="16" customWidth="1"/>
    <col min="4359" max="4359" width="12.375" style="16" customWidth="1"/>
    <col min="4360" max="4608" width="2.625" style="16" customWidth="1"/>
    <col min="4609" max="4609" width="14.625" style="16" customWidth="1"/>
    <col min="4610" max="4610" width="7.625" style="16" customWidth="1"/>
    <col min="4611" max="4611" width="20.625" style="16" customWidth="1"/>
    <col min="4612" max="4612" width="6.5" style="16" customWidth="1"/>
    <col min="4613" max="4613" width="9.75" style="16" customWidth="1"/>
    <col min="4614" max="4614" width="20" style="16" customWidth="1"/>
    <col min="4615" max="4615" width="12.375" style="16" customWidth="1"/>
    <col min="4616" max="4864" width="2.625" style="16" customWidth="1"/>
    <col min="4865" max="4865" width="14.625" style="16" customWidth="1"/>
    <col min="4866" max="4866" width="7.625" style="16" customWidth="1"/>
    <col min="4867" max="4867" width="20.625" style="16" customWidth="1"/>
    <col min="4868" max="4868" width="6.5" style="16" customWidth="1"/>
    <col min="4869" max="4869" width="9.75" style="16" customWidth="1"/>
    <col min="4870" max="4870" width="20" style="16" customWidth="1"/>
    <col min="4871" max="4871" width="12.375" style="16" customWidth="1"/>
    <col min="4872" max="5120" width="2.625" style="16" customWidth="1"/>
    <col min="5121" max="5121" width="14.625" style="16" customWidth="1"/>
    <col min="5122" max="5122" width="7.625" style="16" customWidth="1"/>
    <col min="5123" max="5123" width="20.625" style="16" customWidth="1"/>
    <col min="5124" max="5124" width="6.5" style="16" customWidth="1"/>
    <col min="5125" max="5125" width="9.75" style="16" customWidth="1"/>
    <col min="5126" max="5126" width="20" style="16" customWidth="1"/>
    <col min="5127" max="5127" width="12.375" style="16" customWidth="1"/>
    <col min="5128" max="5376" width="2.625" style="16" customWidth="1"/>
    <col min="5377" max="5377" width="14.625" style="16" customWidth="1"/>
    <col min="5378" max="5378" width="7.625" style="16" customWidth="1"/>
    <col min="5379" max="5379" width="20.625" style="16" customWidth="1"/>
    <col min="5380" max="5380" width="6.5" style="16" customWidth="1"/>
    <col min="5381" max="5381" width="9.75" style="16" customWidth="1"/>
    <col min="5382" max="5382" width="20" style="16" customWidth="1"/>
    <col min="5383" max="5383" width="12.375" style="16" customWidth="1"/>
    <col min="5384" max="5632" width="2.625" style="16" customWidth="1"/>
    <col min="5633" max="5633" width="14.625" style="16" customWidth="1"/>
    <col min="5634" max="5634" width="7.625" style="16" customWidth="1"/>
    <col min="5635" max="5635" width="20.625" style="16" customWidth="1"/>
    <col min="5636" max="5636" width="6.5" style="16" customWidth="1"/>
    <col min="5637" max="5637" width="9.75" style="16" customWidth="1"/>
    <col min="5638" max="5638" width="20" style="16" customWidth="1"/>
    <col min="5639" max="5639" width="12.375" style="16" customWidth="1"/>
    <col min="5640" max="5888" width="2.625" style="16" customWidth="1"/>
    <col min="5889" max="5889" width="14.625" style="16" customWidth="1"/>
    <col min="5890" max="5890" width="7.625" style="16" customWidth="1"/>
    <col min="5891" max="5891" width="20.625" style="16" customWidth="1"/>
    <col min="5892" max="5892" width="6.5" style="16" customWidth="1"/>
    <col min="5893" max="5893" width="9.75" style="16" customWidth="1"/>
    <col min="5894" max="5894" width="20" style="16" customWidth="1"/>
    <col min="5895" max="5895" width="12.375" style="16" customWidth="1"/>
    <col min="5896" max="6144" width="2.625" style="16" customWidth="1"/>
    <col min="6145" max="6145" width="14.625" style="16" customWidth="1"/>
    <col min="6146" max="6146" width="7.625" style="16" customWidth="1"/>
    <col min="6147" max="6147" width="20.625" style="16" customWidth="1"/>
    <col min="6148" max="6148" width="6.5" style="16" customWidth="1"/>
    <col min="6149" max="6149" width="9.75" style="16" customWidth="1"/>
    <col min="6150" max="6150" width="20" style="16" customWidth="1"/>
    <col min="6151" max="6151" width="12.375" style="16" customWidth="1"/>
    <col min="6152" max="6400" width="2.625" style="16" customWidth="1"/>
    <col min="6401" max="6401" width="14.625" style="16" customWidth="1"/>
    <col min="6402" max="6402" width="7.625" style="16" customWidth="1"/>
    <col min="6403" max="6403" width="20.625" style="16" customWidth="1"/>
    <col min="6404" max="6404" width="6.5" style="16" customWidth="1"/>
    <col min="6405" max="6405" width="9.75" style="16" customWidth="1"/>
    <col min="6406" max="6406" width="20" style="16" customWidth="1"/>
    <col min="6407" max="6407" width="12.375" style="16" customWidth="1"/>
    <col min="6408" max="6656" width="2.625" style="16" customWidth="1"/>
    <col min="6657" max="6657" width="14.625" style="16" customWidth="1"/>
    <col min="6658" max="6658" width="7.625" style="16" customWidth="1"/>
    <col min="6659" max="6659" width="20.625" style="16" customWidth="1"/>
    <col min="6660" max="6660" width="6.5" style="16" customWidth="1"/>
    <col min="6661" max="6661" width="9.75" style="16" customWidth="1"/>
    <col min="6662" max="6662" width="20" style="16" customWidth="1"/>
    <col min="6663" max="6663" width="12.375" style="16" customWidth="1"/>
    <col min="6664" max="6912" width="2.625" style="16" customWidth="1"/>
    <col min="6913" max="6913" width="14.625" style="16" customWidth="1"/>
    <col min="6914" max="6914" width="7.625" style="16" customWidth="1"/>
    <col min="6915" max="6915" width="20.625" style="16" customWidth="1"/>
    <col min="6916" max="6916" width="6.5" style="16" customWidth="1"/>
    <col min="6917" max="6917" width="9.75" style="16" customWidth="1"/>
    <col min="6918" max="6918" width="20" style="16" customWidth="1"/>
    <col min="6919" max="6919" width="12.375" style="16" customWidth="1"/>
    <col min="6920" max="7168" width="2.625" style="16" customWidth="1"/>
    <col min="7169" max="7169" width="14.625" style="16" customWidth="1"/>
    <col min="7170" max="7170" width="7.625" style="16" customWidth="1"/>
    <col min="7171" max="7171" width="20.625" style="16" customWidth="1"/>
    <col min="7172" max="7172" width="6.5" style="16" customWidth="1"/>
    <col min="7173" max="7173" width="9.75" style="16" customWidth="1"/>
    <col min="7174" max="7174" width="20" style="16" customWidth="1"/>
    <col min="7175" max="7175" width="12.375" style="16" customWidth="1"/>
    <col min="7176" max="7424" width="2.625" style="16" customWidth="1"/>
    <col min="7425" max="7425" width="14.625" style="16" customWidth="1"/>
    <col min="7426" max="7426" width="7.625" style="16" customWidth="1"/>
    <col min="7427" max="7427" width="20.625" style="16" customWidth="1"/>
    <col min="7428" max="7428" width="6.5" style="16" customWidth="1"/>
    <col min="7429" max="7429" width="9.75" style="16" customWidth="1"/>
    <col min="7430" max="7430" width="20" style="16" customWidth="1"/>
    <col min="7431" max="7431" width="12.375" style="16" customWidth="1"/>
    <col min="7432" max="7680" width="2.625" style="16" customWidth="1"/>
    <col min="7681" max="7681" width="14.625" style="16" customWidth="1"/>
    <col min="7682" max="7682" width="7.625" style="16" customWidth="1"/>
    <col min="7683" max="7683" width="20.625" style="16" customWidth="1"/>
    <col min="7684" max="7684" width="6.5" style="16" customWidth="1"/>
    <col min="7685" max="7685" width="9.75" style="16" customWidth="1"/>
    <col min="7686" max="7686" width="20" style="16" customWidth="1"/>
    <col min="7687" max="7687" width="12.375" style="16" customWidth="1"/>
    <col min="7688" max="7936" width="2.625" style="16" customWidth="1"/>
    <col min="7937" max="7937" width="14.625" style="16" customWidth="1"/>
    <col min="7938" max="7938" width="7.625" style="16" customWidth="1"/>
    <col min="7939" max="7939" width="20.625" style="16" customWidth="1"/>
    <col min="7940" max="7940" width="6.5" style="16" customWidth="1"/>
    <col min="7941" max="7941" width="9.75" style="16" customWidth="1"/>
    <col min="7942" max="7942" width="20" style="16" customWidth="1"/>
    <col min="7943" max="7943" width="12.375" style="16" customWidth="1"/>
    <col min="7944" max="8192" width="2.625" style="16" customWidth="1"/>
    <col min="8193" max="8193" width="14.625" style="16" customWidth="1"/>
    <col min="8194" max="8194" width="7.625" style="16" customWidth="1"/>
    <col min="8195" max="8195" width="20.625" style="16" customWidth="1"/>
    <col min="8196" max="8196" width="6.5" style="16" customWidth="1"/>
    <col min="8197" max="8197" width="9.75" style="16" customWidth="1"/>
    <col min="8198" max="8198" width="20" style="16" customWidth="1"/>
    <col min="8199" max="8199" width="12.375" style="16" customWidth="1"/>
    <col min="8200" max="8448" width="2.625" style="16" customWidth="1"/>
    <col min="8449" max="8449" width="14.625" style="16" customWidth="1"/>
    <col min="8450" max="8450" width="7.625" style="16" customWidth="1"/>
    <col min="8451" max="8451" width="20.625" style="16" customWidth="1"/>
    <col min="8452" max="8452" width="6.5" style="16" customWidth="1"/>
    <col min="8453" max="8453" width="9.75" style="16" customWidth="1"/>
    <col min="8454" max="8454" width="20" style="16" customWidth="1"/>
    <col min="8455" max="8455" width="12.375" style="16" customWidth="1"/>
    <col min="8456" max="8704" width="2.625" style="16" customWidth="1"/>
    <col min="8705" max="8705" width="14.625" style="16" customWidth="1"/>
    <col min="8706" max="8706" width="7.625" style="16" customWidth="1"/>
    <col min="8707" max="8707" width="20.625" style="16" customWidth="1"/>
    <col min="8708" max="8708" width="6.5" style="16" customWidth="1"/>
    <col min="8709" max="8709" width="9.75" style="16" customWidth="1"/>
    <col min="8710" max="8710" width="20" style="16" customWidth="1"/>
    <col min="8711" max="8711" width="12.375" style="16" customWidth="1"/>
    <col min="8712" max="8960" width="2.625" style="16" customWidth="1"/>
    <col min="8961" max="8961" width="14.625" style="16" customWidth="1"/>
    <col min="8962" max="8962" width="7.625" style="16" customWidth="1"/>
    <col min="8963" max="8963" width="20.625" style="16" customWidth="1"/>
    <col min="8964" max="8964" width="6.5" style="16" customWidth="1"/>
    <col min="8965" max="8965" width="9.75" style="16" customWidth="1"/>
    <col min="8966" max="8966" width="20" style="16" customWidth="1"/>
    <col min="8967" max="8967" width="12.375" style="16" customWidth="1"/>
    <col min="8968" max="9216" width="2.625" style="16" customWidth="1"/>
    <col min="9217" max="9217" width="14.625" style="16" customWidth="1"/>
    <col min="9218" max="9218" width="7.625" style="16" customWidth="1"/>
    <col min="9219" max="9219" width="20.625" style="16" customWidth="1"/>
    <col min="9220" max="9220" width="6.5" style="16" customWidth="1"/>
    <col min="9221" max="9221" width="9.75" style="16" customWidth="1"/>
    <col min="9222" max="9222" width="20" style="16" customWidth="1"/>
    <col min="9223" max="9223" width="12.375" style="16" customWidth="1"/>
    <col min="9224" max="9472" width="2.625" style="16" customWidth="1"/>
    <col min="9473" max="9473" width="14.625" style="16" customWidth="1"/>
    <col min="9474" max="9474" width="7.625" style="16" customWidth="1"/>
    <col min="9475" max="9475" width="20.625" style="16" customWidth="1"/>
    <col min="9476" max="9476" width="6.5" style="16" customWidth="1"/>
    <col min="9477" max="9477" width="9.75" style="16" customWidth="1"/>
    <col min="9478" max="9478" width="20" style="16" customWidth="1"/>
    <col min="9479" max="9479" width="12.375" style="16" customWidth="1"/>
    <col min="9480" max="9728" width="2.625" style="16" customWidth="1"/>
    <col min="9729" max="9729" width="14.625" style="16" customWidth="1"/>
    <col min="9730" max="9730" width="7.625" style="16" customWidth="1"/>
    <col min="9731" max="9731" width="20.625" style="16" customWidth="1"/>
    <col min="9732" max="9732" width="6.5" style="16" customWidth="1"/>
    <col min="9733" max="9733" width="9.75" style="16" customWidth="1"/>
    <col min="9734" max="9734" width="20" style="16" customWidth="1"/>
    <col min="9735" max="9735" width="12.375" style="16" customWidth="1"/>
    <col min="9736" max="9984" width="2.625" style="16" customWidth="1"/>
    <col min="9985" max="9985" width="14.625" style="16" customWidth="1"/>
    <col min="9986" max="9986" width="7.625" style="16" customWidth="1"/>
    <col min="9987" max="9987" width="20.625" style="16" customWidth="1"/>
    <col min="9988" max="9988" width="6.5" style="16" customWidth="1"/>
    <col min="9989" max="9989" width="9.75" style="16" customWidth="1"/>
    <col min="9990" max="9990" width="20" style="16" customWidth="1"/>
    <col min="9991" max="9991" width="12.375" style="16" customWidth="1"/>
    <col min="9992" max="10240" width="2.625" style="16" customWidth="1"/>
    <col min="10241" max="10241" width="14.625" style="16" customWidth="1"/>
    <col min="10242" max="10242" width="7.625" style="16" customWidth="1"/>
    <col min="10243" max="10243" width="20.625" style="16" customWidth="1"/>
    <col min="10244" max="10244" width="6.5" style="16" customWidth="1"/>
    <col min="10245" max="10245" width="9.75" style="16" customWidth="1"/>
    <col min="10246" max="10246" width="20" style="16" customWidth="1"/>
    <col min="10247" max="10247" width="12.375" style="16" customWidth="1"/>
    <col min="10248" max="10496" width="2.625" style="16" customWidth="1"/>
    <col min="10497" max="10497" width="14.625" style="16" customWidth="1"/>
    <col min="10498" max="10498" width="7.625" style="16" customWidth="1"/>
    <col min="10499" max="10499" width="20.625" style="16" customWidth="1"/>
    <col min="10500" max="10500" width="6.5" style="16" customWidth="1"/>
    <col min="10501" max="10501" width="9.75" style="16" customWidth="1"/>
    <col min="10502" max="10502" width="20" style="16" customWidth="1"/>
    <col min="10503" max="10503" width="12.375" style="16" customWidth="1"/>
    <col min="10504" max="10752" width="2.625" style="16" customWidth="1"/>
    <col min="10753" max="10753" width="14.625" style="16" customWidth="1"/>
    <col min="10754" max="10754" width="7.625" style="16" customWidth="1"/>
    <col min="10755" max="10755" width="20.625" style="16" customWidth="1"/>
    <col min="10756" max="10756" width="6.5" style="16" customWidth="1"/>
    <col min="10757" max="10757" width="9.75" style="16" customWidth="1"/>
    <col min="10758" max="10758" width="20" style="16" customWidth="1"/>
    <col min="10759" max="10759" width="12.375" style="16" customWidth="1"/>
    <col min="10760" max="11008" width="2.625" style="16" customWidth="1"/>
    <col min="11009" max="11009" width="14.625" style="16" customWidth="1"/>
    <col min="11010" max="11010" width="7.625" style="16" customWidth="1"/>
    <col min="11011" max="11011" width="20.625" style="16" customWidth="1"/>
    <col min="11012" max="11012" width="6.5" style="16" customWidth="1"/>
    <col min="11013" max="11013" width="9.75" style="16" customWidth="1"/>
    <col min="11014" max="11014" width="20" style="16" customWidth="1"/>
    <col min="11015" max="11015" width="12.375" style="16" customWidth="1"/>
    <col min="11016" max="11264" width="2.625" style="16" customWidth="1"/>
    <col min="11265" max="11265" width="14.625" style="16" customWidth="1"/>
    <col min="11266" max="11266" width="7.625" style="16" customWidth="1"/>
    <col min="11267" max="11267" width="20.625" style="16" customWidth="1"/>
    <col min="11268" max="11268" width="6.5" style="16" customWidth="1"/>
    <col min="11269" max="11269" width="9.75" style="16" customWidth="1"/>
    <col min="11270" max="11270" width="20" style="16" customWidth="1"/>
    <col min="11271" max="11271" width="12.375" style="16" customWidth="1"/>
    <col min="11272" max="11520" width="2.625" style="16" customWidth="1"/>
    <col min="11521" max="11521" width="14.625" style="16" customWidth="1"/>
    <col min="11522" max="11522" width="7.625" style="16" customWidth="1"/>
    <col min="11523" max="11523" width="20.625" style="16" customWidth="1"/>
    <col min="11524" max="11524" width="6.5" style="16" customWidth="1"/>
    <col min="11525" max="11525" width="9.75" style="16" customWidth="1"/>
    <col min="11526" max="11526" width="20" style="16" customWidth="1"/>
    <col min="11527" max="11527" width="12.375" style="16" customWidth="1"/>
    <col min="11528" max="11776" width="2.625" style="16" customWidth="1"/>
    <col min="11777" max="11777" width="14.625" style="16" customWidth="1"/>
    <col min="11778" max="11778" width="7.625" style="16" customWidth="1"/>
    <col min="11779" max="11779" width="20.625" style="16" customWidth="1"/>
    <col min="11780" max="11780" width="6.5" style="16" customWidth="1"/>
    <col min="11781" max="11781" width="9.75" style="16" customWidth="1"/>
    <col min="11782" max="11782" width="20" style="16" customWidth="1"/>
    <col min="11783" max="11783" width="12.375" style="16" customWidth="1"/>
    <col min="11784" max="12032" width="2.625" style="16" customWidth="1"/>
    <col min="12033" max="12033" width="14.625" style="16" customWidth="1"/>
    <col min="12034" max="12034" width="7.625" style="16" customWidth="1"/>
    <col min="12035" max="12035" width="20.625" style="16" customWidth="1"/>
    <col min="12036" max="12036" width="6.5" style="16" customWidth="1"/>
    <col min="12037" max="12037" width="9.75" style="16" customWidth="1"/>
    <col min="12038" max="12038" width="20" style="16" customWidth="1"/>
    <col min="12039" max="12039" width="12.375" style="16" customWidth="1"/>
    <col min="12040" max="12288" width="2.625" style="16" customWidth="1"/>
    <col min="12289" max="12289" width="14.625" style="16" customWidth="1"/>
    <col min="12290" max="12290" width="7.625" style="16" customWidth="1"/>
    <col min="12291" max="12291" width="20.625" style="16" customWidth="1"/>
    <col min="12292" max="12292" width="6.5" style="16" customWidth="1"/>
    <col min="12293" max="12293" width="9.75" style="16" customWidth="1"/>
    <col min="12294" max="12294" width="20" style="16" customWidth="1"/>
    <col min="12295" max="12295" width="12.375" style="16" customWidth="1"/>
    <col min="12296" max="12544" width="2.625" style="16" customWidth="1"/>
    <col min="12545" max="12545" width="14.625" style="16" customWidth="1"/>
    <col min="12546" max="12546" width="7.625" style="16" customWidth="1"/>
    <col min="12547" max="12547" width="20.625" style="16" customWidth="1"/>
    <col min="12548" max="12548" width="6.5" style="16" customWidth="1"/>
    <col min="12549" max="12549" width="9.75" style="16" customWidth="1"/>
    <col min="12550" max="12550" width="20" style="16" customWidth="1"/>
    <col min="12551" max="12551" width="12.375" style="16" customWidth="1"/>
    <col min="12552" max="12800" width="2.625" style="16" customWidth="1"/>
    <col min="12801" max="12801" width="14.625" style="16" customWidth="1"/>
    <col min="12802" max="12802" width="7.625" style="16" customWidth="1"/>
    <col min="12803" max="12803" width="20.625" style="16" customWidth="1"/>
    <col min="12804" max="12804" width="6.5" style="16" customWidth="1"/>
    <col min="12805" max="12805" width="9.75" style="16" customWidth="1"/>
    <col min="12806" max="12806" width="20" style="16" customWidth="1"/>
    <col min="12807" max="12807" width="12.375" style="16" customWidth="1"/>
    <col min="12808" max="13056" width="2.625" style="16" customWidth="1"/>
    <col min="13057" max="13057" width="14.625" style="16" customWidth="1"/>
    <col min="13058" max="13058" width="7.625" style="16" customWidth="1"/>
    <col min="13059" max="13059" width="20.625" style="16" customWidth="1"/>
    <col min="13060" max="13060" width="6.5" style="16" customWidth="1"/>
    <col min="13061" max="13061" width="9.75" style="16" customWidth="1"/>
    <col min="13062" max="13062" width="20" style="16" customWidth="1"/>
    <col min="13063" max="13063" width="12.375" style="16" customWidth="1"/>
    <col min="13064" max="13312" width="2.625" style="16" customWidth="1"/>
    <col min="13313" max="13313" width="14.625" style="16" customWidth="1"/>
    <col min="13314" max="13314" width="7.625" style="16" customWidth="1"/>
    <col min="13315" max="13315" width="20.625" style="16" customWidth="1"/>
    <col min="13316" max="13316" width="6.5" style="16" customWidth="1"/>
    <col min="13317" max="13317" width="9.75" style="16" customWidth="1"/>
    <col min="13318" max="13318" width="20" style="16" customWidth="1"/>
    <col min="13319" max="13319" width="12.375" style="16" customWidth="1"/>
    <col min="13320" max="13568" width="2.625" style="16" customWidth="1"/>
    <col min="13569" max="13569" width="14.625" style="16" customWidth="1"/>
    <col min="13570" max="13570" width="7.625" style="16" customWidth="1"/>
    <col min="13571" max="13571" width="20.625" style="16" customWidth="1"/>
    <col min="13572" max="13572" width="6.5" style="16" customWidth="1"/>
    <col min="13573" max="13573" width="9.75" style="16" customWidth="1"/>
    <col min="13574" max="13574" width="20" style="16" customWidth="1"/>
    <col min="13575" max="13575" width="12.375" style="16" customWidth="1"/>
    <col min="13576" max="13824" width="2.625" style="16" customWidth="1"/>
    <col min="13825" max="13825" width="14.625" style="16" customWidth="1"/>
    <col min="13826" max="13826" width="7.625" style="16" customWidth="1"/>
    <col min="13827" max="13827" width="20.625" style="16" customWidth="1"/>
    <col min="13828" max="13828" width="6.5" style="16" customWidth="1"/>
    <col min="13829" max="13829" width="9.75" style="16" customWidth="1"/>
    <col min="13830" max="13830" width="20" style="16" customWidth="1"/>
    <col min="13831" max="13831" width="12.375" style="16" customWidth="1"/>
    <col min="13832" max="14080" width="2.625" style="16" customWidth="1"/>
    <col min="14081" max="14081" width="14.625" style="16" customWidth="1"/>
    <col min="14082" max="14082" width="7.625" style="16" customWidth="1"/>
    <col min="14083" max="14083" width="20.625" style="16" customWidth="1"/>
    <col min="14084" max="14084" width="6.5" style="16" customWidth="1"/>
    <col min="14085" max="14085" width="9.75" style="16" customWidth="1"/>
    <col min="14086" max="14086" width="20" style="16" customWidth="1"/>
    <col min="14087" max="14087" width="12.375" style="16" customWidth="1"/>
    <col min="14088" max="14336" width="2.625" style="16" customWidth="1"/>
    <col min="14337" max="14337" width="14.625" style="16" customWidth="1"/>
    <col min="14338" max="14338" width="7.625" style="16" customWidth="1"/>
    <col min="14339" max="14339" width="20.625" style="16" customWidth="1"/>
    <col min="14340" max="14340" width="6.5" style="16" customWidth="1"/>
    <col min="14341" max="14341" width="9.75" style="16" customWidth="1"/>
    <col min="14342" max="14342" width="20" style="16" customWidth="1"/>
    <col min="14343" max="14343" width="12.375" style="16" customWidth="1"/>
    <col min="14344" max="14592" width="2.625" style="16" customWidth="1"/>
    <col min="14593" max="14593" width="14.625" style="16" customWidth="1"/>
    <col min="14594" max="14594" width="7.625" style="16" customWidth="1"/>
    <col min="14595" max="14595" width="20.625" style="16" customWidth="1"/>
    <col min="14596" max="14596" width="6.5" style="16" customWidth="1"/>
    <col min="14597" max="14597" width="9.75" style="16" customWidth="1"/>
    <col min="14598" max="14598" width="20" style="16" customWidth="1"/>
    <col min="14599" max="14599" width="12.375" style="16" customWidth="1"/>
    <col min="14600" max="14848" width="2.625" style="16" customWidth="1"/>
    <col min="14849" max="14849" width="14.625" style="16" customWidth="1"/>
    <col min="14850" max="14850" width="7.625" style="16" customWidth="1"/>
    <col min="14851" max="14851" width="20.625" style="16" customWidth="1"/>
    <col min="14852" max="14852" width="6.5" style="16" customWidth="1"/>
    <col min="14853" max="14853" width="9.75" style="16" customWidth="1"/>
    <col min="14854" max="14854" width="20" style="16" customWidth="1"/>
    <col min="14855" max="14855" width="12.375" style="16" customWidth="1"/>
    <col min="14856" max="15104" width="2.625" style="16" customWidth="1"/>
    <col min="15105" max="15105" width="14.625" style="16" customWidth="1"/>
    <col min="15106" max="15106" width="7.625" style="16" customWidth="1"/>
    <col min="15107" max="15107" width="20.625" style="16" customWidth="1"/>
    <col min="15108" max="15108" width="6.5" style="16" customWidth="1"/>
    <col min="15109" max="15109" width="9.75" style="16" customWidth="1"/>
    <col min="15110" max="15110" width="20" style="16" customWidth="1"/>
    <col min="15111" max="15111" width="12.375" style="16" customWidth="1"/>
    <col min="15112" max="15360" width="2.625" style="16" customWidth="1"/>
    <col min="15361" max="15361" width="14.625" style="16" customWidth="1"/>
    <col min="15362" max="15362" width="7.625" style="16" customWidth="1"/>
    <col min="15363" max="15363" width="20.625" style="16" customWidth="1"/>
    <col min="15364" max="15364" width="6.5" style="16" customWidth="1"/>
    <col min="15365" max="15365" width="9.75" style="16" customWidth="1"/>
    <col min="15366" max="15366" width="20" style="16" customWidth="1"/>
    <col min="15367" max="15367" width="12.375" style="16" customWidth="1"/>
    <col min="15368" max="15616" width="2.625" style="16" customWidth="1"/>
    <col min="15617" max="15617" width="14.625" style="16" customWidth="1"/>
    <col min="15618" max="15618" width="7.625" style="16" customWidth="1"/>
    <col min="15619" max="15619" width="20.625" style="16" customWidth="1"/>
    <col min="15620" max="15620" width="6.5" style="16" customWidth="1"/>
    <col min="15621" max="15621" width="9.75" style="16" customWidth="1"/>
    <col min="15622" max="15622" width="20" style="16" customWidth="1"/>
    <col min="15623" max="15623" width="12.375" style="16" customWidth="1"/>
    <col min="15624" max="15872" width="2.625" style="16" customWidth="1"/>
    <col min="15873" max="15873" width="14.625" style="16" customWidth="1"/>
    <col min="15874" max="15874" width="7.625" style="16" customWidth="1"/>
    <col min="15875" max="15875" width="20.625" style="16" customWidth="1"/>
    <col min="15876" max="15876" width="6.5" style="16" customWidth="1"/>
    <col min="15877" max="15877" width="9.75" style="16" customWidth="1"/>
    <col min="15878" max="15878" width="20" style="16" customWidth="1"/>
    <col min="15879" max="15879" width="12.375" style="16" customWidth="1"/>
    <col min="15880" max="16128" width="2.625" style="16" customWidth="1"/>
    <col min="16129" max="16129" width="14.625" style="16" customWidth="1"/>
    <col min="16130" max="16130" width="7.625" style="16" customWidth="1"/>
    <col min="16131" max="16131" width="20.625" style="16" customWidth="1"/>
    <col min="16132" max="16132" width="6.5" style="16" customWidth="1"/>
    <col min="16133" max="16133" width="9.75" style="16" customWidth="1"/>
    <col min="16134" max="16134" width="20" style="16" customWidth="1"/>
    <col min="16135" max="16135" width="12.375" style="16" customWidth="1"/>
    <col min="16136" max="16384" width="2.625" style="16" customWidth="1"/>
  </cols>
  <sheetData>
    <row r="1" spans="1:8" ht="22.5" customHeight="1">
      <c r="A1" s="599" t="s">
        <v>95</v>
      </c>
      <c r="B1" s="599"/>
      <c r="C1" s="599"/>
      <c r="D1" s="599"/>
      <c r="E1" s="599"/>
      <c r="F1" s="599"/>
      <c r="G1" s="599"/>
    </row>
    <row r="2" spans="1:8" ht="22.5" customHeight="1">
      <c r="A2" s="600" t="s">
        <v>646</v>
      </c>
      <c r="B2" s="600"/>
      <c r="C2" s="600"/>
      <c r="D2" s="600"/>
      <c r="E2" s="600"/>
      <c r="F2" s="600"/>
      <c r="G2" s="600"/>
    </row>
    <row r="3" spans="1:8" ht="53.25" customHeight="1">
      <c r="A3" s="281"/>
      <c r="B3" s="269" t="s">
        <v>2777</v>
      </c>
      <c r="C3" s="268" t="s">
        <v>2778</v>
      </c>
      <c r="D3" s="269" t="s">
        <v>2779</v>
      </c>
      <c r="E3" s="269" t="s">
        <v>2780</v>
      </c>
      <c r="F3" s="282" t="s">
        <v>2781</v>
      </c>
      <c r="G3" s="269" t="s">
        <v>2782</v>
      </c>
    </row>
    <row r="4" spans="1:8" ht="60.75" customHeight="1">
      <c r="A4" s="283" t="s">
        <v>2783</v>
      </c>
      <c r="B4" s="284"/>
      <c r="C4" s="284"/>
      <c r="D4" s="284"/>
      <c r="E4" s="284"/>
      <c r="F4" s="284"/>
      <c r="G4" s="284"/>
      <c r="H4" s="15"/>
    </row>
    <row r="5" spans="1:8" ht="72" customHeight="1">
      <c r="A5" s="283" t="s">
        <v>2784</v>
      </c>
      <c r="B5" s="284"/>
      <c r="C5" s="284"/>
      <c r="D5" s="284"/>
      <c r="E5" s="284"/>
      <c r="F5" s="284"/>
      <c r="G5" s="284"/>
      <c r="H5" s="15"/>
    </row>
    <row r="6" spans="1:8" ht="63" customHeight="1">
      <c r="A6" s="283" t="s">
        <v>2785</v>
      </c>
      <c r="B6" s="284"/>
      <c r="C6" s="284"/>
      <c r="D6" s="284"/>
      <c r="E6" s="284"/>
      <c r="F6" s="284"/>
      <c r="G6" s="284"/>
      <c r="H6" s="15"/>
    </row>
    <row r="7" spans="1:8" ht="62.25" customHeight="1">
      <c r="A7" s="283" t="s">
        <v>2786</v>
      </c>
      <c r="B7" s="284"/>
      <c r="C7" s="284"/>
      <c r="D7" s="284"/>
      <c r="E7" s="284"/>
      <c r="F7" s="284"/>
      <c r="G7" s="284"/>
      <c r="H7" s="15"/>
    </row>
    <row r="8" spans="1:8" ht="60" customHeight="1">
      <c r="A8" s="283" t="s">
        <v>2787</v>
      </c>
      <c r="B8" s="284"/>
      <c r="C8" s="284"/>
      <c r="D8" s="284"/>
      <c r="E8" s="284"/>
      <c r="F8" s="284"/>
      <c r="G8" s="284"/>
      <c r="H8" s="15"/>
    </row>
    <row r="9" spans="1:8" ht="65.25" customHeight="1">
      <c r="A9" s="283" t="s">
        <v>2788</v>
      </c>
      <c r="B9" s="284"/>
      <c r="C9" s="284"/>
      <c r="D9" s="284"/>
      <c r="E9" s="284"/>
      <c r="F9" s="284"/>
      <c r="G9" s="284"/>
      <c r="H9" s="15"/>
    </row>
    <row r="10" spans="1:8" ht="68.25" customHeight="1">
      <c r="A10" s="283" t="s">
        <v>2789</v>
      </c>
      <c r="B10" s="284"/>
      <c r="C10" s="284"/>
      <c r="D10" s="284"/>
      <c r="E10" s="284"/>
      <c r="F10" s="284"/>
      <c r="G10" s="284"/>
      <c r="H10" s="15"/>
    </row>
    <row r="11" spans="1:8" ht="66" customHeight="1">
      <c r="A11" s="269" t="s">
        <v>2790</v>
      </c>
      <c r="B11" s="284"/>
      <c r="C11" s="284"/>
      <c r="D11" s="284"/>
      <c r="E11" s="284"/>
      <c r="F11" s="284"/>
      <c r="G11" s="284"/>
      <c r="H11" s="15"/>
    </row>
    <row r="12" spans="1:8" ht="60.75" customHeight="1">
      <c r="A12" s="283" t="s">
        <v>2791</v>
      </c>
      <c r="B12" s="284"/>
      <c r="C12" s="284"/>
      <c r="D12" s="284"/>
      <c r="E12" s="284"/>
      <c r="F12" s="284"/>
      <c r="G12" s="284"/>
      <c r="H12" s="15"/>
    </row>
    <row r="13" spans="1:8" ht="81" customHeight="1">
      <c r="A13" s="283" t="s">
        <v>2792</v>
      </c>
      <c r="B13" s="284"/>
      <c r="C13" s="284"/>
      <c r="D13" s="284"/>
      <c r="E13" s="284"/>
      <c r="F13" s="284"/>
      <c r="G13" s="284"/>
      <c r="H13" s="15"/>
    </row>
    <row r="14" spans="1:8" ht="44.25" customHeight="1">
      <c r="A14" s="268" t="s">
        <v>2793</v>
      </c>
      <c r="B14" s="284"/>
      <c r="C14" s="284"/>
      <c r="D14" s="284"/>
      <c r="E14" s="284"/>
      <c r="F14" s="284"/>
      <c r="G14" s="284"/>
      <c r="H14" s="15"/>
    </row>
    <row r="15" spans="1:8" ht="16.5" customHeight="1">
      <c r="A15" s="15"/>
      <c r="B15" s="15"/>
      <c r="C15" s="15"/>
      <c r="D15" s="15"/>
      <c r="E15" s="15"/>
      <c r="F15" s="15"/>
      <c r="G15" s="15"/>
      <c r="H15" s="15"/>
    </row>
    <row r="16" spans="1:8" ht="16.5" customHeight="1">
      <c r="A16" s="15"/>
      <c r="B16" s="15"/>
      <c r="C16" s="15"/>
      <c r="D16" s="15"/>
      <c r="E16" s="15"/>
      <c r="F16" s="15"/>
      <c r="G16" s="15"/>
      <c r="H16" s="15"/>
    </row>
    <row r="17" spans="1:8" ht="16.5" customHeight="1">
      <c r="A17" s="15"/>
      <c r="B17" s="15"/>
      <c r="C17" s="15"/>
      <c r="D17" s="15"/>
      <c r="E17" s="15"/>
      <c r="F17" s="15"/>
      <c r="G17" s="15"/>
      <c r="H17" s="15"/>
    </row>
    <row r="18" spans="1:8" ht="16.5" customHeight="1">
      <c r="A18" s="15"/>
      <c r="B18" s="15"/>
      <c r="C18" s="15"/>
      <c r="D18" s="15"/>
      <c r="E18" s="15"/>
      <c r="F18" s="15"/>
      <c r="G18" s="15"/>
      <c r="H18" s="15"/>
    </row>
    <row r="19" spans="1:8" ht="16.5" customHeight="1">
      <c r="A19" s="15"/>
      <c r="B19" s="15"/>
      <c r="C19" s="15"/>
      <c r="D19" s="15"/>
      <c r="E19" s="15"/>
      <c r="F19" s="15"/>
      <c r="G19" s="15"/>
      <c r="H19" s="15"/>
    </row>
    <row r="20" spans="1:8" ht="16.5" customHeight="1">
      <c r="A20" s="15"/>
      <c r="B20" s="15"/>
      <c r="C20" s="15"/>
      <c r="D20" s="15"/>
      <c r="E20" s="15"/>
      <c r="F20" s="15"/>
      <c r="G20" s="15"/>
      <c r="H20" s="15"/>
    </row>
    <row r="21" spans="1:8" ht="16.5" customHeight="1">
      <c r="A21" s="15"/>
      <c r="B21" s="15"/>
      <c r="C21" s="15"/>
      <c r="D21" s="15"/>
      <c r="E21" s="15"/>
      <c r="F21" s="15"/>
      <c r="G21" s="15"/>
      <c r="H21" s="15"/>
    </row>
    <row r="22" spans="1:8" ht="16.5" customHeight="1">
      <c r="A22" s="15"/>
      <c r="B22" s="15"/>
      <c r="C22" s="15"/>
      <c r="D22" s="15"/>
      <c r="E22" s="15"/>
      <c r="F22" s="15"/>
      <c r="G22" s="15"/>
      <c r="H22" s="15"/>
    </row>
    <row r="23" spans="1:8" ht="16.5" customHeight="1">
      <c r="A23" s="15"/>
      <c r="B23" s="15"/>
      <c r="C23" s="15"/>
      <c r="D23" s="15"/>
      <c r="E23" s="15"/>
      <c r="F23" s="15"/>
      <c r="G23" s="15"/>
      <c r="H23" s="15"/>
    </row>
    <row r="24" spans="1:8" ht="16.5" customHeight="1">
      <c r="A24" s="15"/>
      <c r="B24" s="15"/>
      <c r="C24" s="15"/>
      <c r="D24" s="15"/>
      <c r="E24" s="15"/>
      <c r="F24" s="15"/>
      <c r="G24" s="15"/>
      <c r="H24" s="15"/>
    </row>
    <row r="25" spans="1:8" ht="16.5" customHeight="1">
      <c r="A25" s="15"/>
      <c r="B25" s="15"/>
      <c r="C25" s="15"/>
      <c r="D25" s="15"/>
      <c r="E25" s="15"/>
      <c r="F25" s="15"/>
      <c r="G25" s="15"/>
      <c r="H25" s="15"/>
    </row>
    <row r="26" spans="1:8" ht="16.5" customHeight="1">
      <c r="A26" s="15"/>
      <c r="B26" s="15"/>
      <c r="C26" s="15"/>
      <c r="D26" s="15"/>
      <c r="E26" s="15"/>
      <c r="F26" s="15"/>
      <c r="G26" s="15"/>
      <c r="H26" s="15"/>
    </row>
    <row r="27" spans="1:8" ht="16.5" customHeight="1">
      <c r="A27" s="15"/>
      <c r="B27" s="15"/>
      <c r="C27" s="15"/>
      <c r="D27" s="15"/>
      <c r="E27" s="15"/>
      <c r="F27" s="15"/>
      <c r="G27" s="15"/>
      <c r="H27" s="15"/>
    </row>
    <row r="28" spans="1:8" ht="16.5" customHeight="1">
      <c r="A28" s="15"/>
      <c r="B28" s="15"/>
      <c r="C28" s="15"/>
      <c r="D28" s="15"/>
      <c r="E28" s="15"/>
      <c r="F28" s="15"/>
      <c r="G28" s="15"/>
      <c r="H28" s="15"/>
    </row>
    <row r="29" spans="1:8" ht="16.5" customHeight="1">
      <c r="A29" s="15"/>
      <c r="B29" s="15"/>
      <c r="C29" s="15"/>
      <c r="D29" s="15"/>
      <c r="E29" s="15"/>
      <c r="F29" s="15"/>
      <c r="G29" s="15"/>
      <c r="H29" s="15"/>
    </row>
    <row r="30" spans="1:8" ht="16.5" customHeight="1">
      <c r="A30" s="15"/>
      <c r="B30" s="15"/>
      <c r="C30" s="15"/>
      <c r="D30" s="15"/>
      <c r="E30" s="15"/>
      <c r="F30" s="15"/>
      <c r="G30" s="15"/>
      <c r="H30" s="15"/>
    </row>
    <row r="31" spans="1:8" ht="16.5" customHeight="1">
      <c r="A31" s="15"/>
      <c r="B31" s="15"/>
      <c r="C31" s="15"/>
      <c r="D31" s="15"/>
      <c r="E31" s="15"/>
      <c r="F31" s="15"/>
      <c r="G31" s="15"/>
      <c r="H31" s="15"/>
    </row>
    <row r="32" spans="1:8" ht="16.5" customHeight="1">
      <c r="A32" s="15"/>
      <c r="B32" s="15"/>
      <c r="C32" s="15"/>
      <c r="D32" s="15"/>
      <c r="E32" s="15"/>
      <c r="F32" s="15"/>
      <c r="G32" s="15"/>
      <c r="H32" s="15"/>
    </row>
    <row r="33" spans="1:8" ht="16.5" customHeight="1">
      <c r="A33" s="15"/>
      <c r="B33" s="15"/>
      <c r="C33" s="15"/>
      <c r="D33" s="15"/>
      <c r="E33" s="15"/>
      <c r="F33" s="15"/>
      <c r="G33" s="15"/>
      <c r="H33" s="15"/>
    </row>
    <row r="34" spans="1:8" ht="16.5" customHeight="1">
      <c r="A34" s="15"/>
      <c r="B34" s="15"/>
      <c r="C34" s="15"/>
      <c r="D34" s="15"/>
      <c r="E34" s="15"/>
      <c r="F34" s="15"/>
      <c r="G34" s="15"/>
      <c r="H34" s="15"/>
    </row>
    <row r="35" spans="1:8" ht="16.5" customHeight="1">
      <c r="A35" s="15"/>
      <c r="B35" s="15"/>
      <c r="C35" s="15"/>
      <c r="D35" s="15"/>
      <c r="E35" s="15"/>
      <c r="F35" s="15"/>
      <c r="G35" s="15"/>
      <c r="H35" s="15"/>
    </row>
    <row r="36" spans="1:8" ht="16.5" customHeight="1">
      <c r="A36" s="15"/>
      <c r="B36" s="15"/>
      <c r="C36" s="15"/>
      <c r="D36" s="15"/>
      <c r="E36" s="15"/>
      <c r="F36" s="15"/>
      <c r="G36" s="15"/>
      <c r="H36" s="15"/>
    </row>
    <row r="37" spans="1:8" ht="16.5" customHeight="1">
      <c r="A37" s="15"/>
      <c r="B37" s="15"/>
      <c r="C37" s="15"/>
      <c r="D37" s="15"/>
      <c r="E37" s="15"/>
      <c r="F37" s="15"/>
      <c r="G37" s="15"/>
      <c r="H37" s="15"/>
    </row>
    <row r="38" spans="1:8" ht="16.5" customHeight="1">
      <c r="A38" s="15"/>
      <c r="B38" s="15"/>
      <c r="C38" s="15"/>
      <c r="D38" s="15"/>
      <c r="E38" s="15"/>
      <c r="F38" s="15"/>
      <c r="G38" s="15"/>
      <c r="H38" s="15"/>
    </row>
  </sheetData>
  <mergeCells count="2">
    <mergeCell ref="A1:G1"/>
    <mergeCell ref="A2:G2"/>
  </mergeCells>
  <phoneticPr fontId="57"/>
  <printOptions horizontalCentered="1"/>
  <pageMargins left="0.39370078740157483" right="0.39370078740157483" top="0.78740157480314965" bottom="0.55118110236220474"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zoomScale="80" zoomScaleNormal="80" workbookViewId="0"/>
  </sheetViews>
  <sheetFormatPr defaultColWidth="2.625" defaultRowHeight="16.5" customHeight="1"/>
  <cols>
    <col min="1" max="18" width="3.125" style="423" customWidth="1"/>
    <col min="19" max="256" width="2.625" style="423" customWidth="1"/>
    <col min="257" max="257" width="14.625" style="423" customWidth="1"/>
    <col min="258" max="258" width="7.625" style="423" customWidth="1"/>
    <col min="259" max="259" width="20.625" style="423" customWidth="1"/>
    <col min="260" max="260" width="6.5" style="423" customWidth="1"/>
    <col min="261" max="261" width="9.75" style="423" customWidth="1"/>
    <col min="262" max="262" width="20" style="423" customWidth="1"/>
    <col min="263" max="263" width="12.375" style="423" customWidth="1"/>
    <col min="264" max="512" width="2.625" style="423" customWidth="1"/>
    <col min="513" max="513" width="14.625" style="423" customWidth="1"/>
    <col min="514" max="514" width="7.625" style="423" customWidth="1"/>
    <col min="515" max="515" width="20.625" style="423" customWidth="1"/>
    <col min="516" max="516" width="6.5" style="423" customWidth="1"/>
    <col min="517" max="517" width="9.75" style="423" customWidth="1"/>
    <col min="518" max="518" width="20" style="423" customWidth="1"/>
    <col min="519" max="519" width="12.375" style="423" customWidth="1"/>
    <col min="520" max="768" width="2.625" style="423" customWidth="1"/>
    <col min="769" max="769" width="14.625" style="423" customWidth="1"/>
    <col min="770" max="770" width="7.625" style="423" customWidth="1"/>
    <col min="771" max="771" width="20.625" style="423" customWidth="1"/>
    <col min="772" max="772" width="6.5" style="423" customWidth="1"/>
    <col min="773" max="773" width="9.75" style="423" customWidth="1"/>
    <col min="774" max="774" width="20" style="423" customWidth="1"/>
    <col min="775" max="775" width="12.375" style="423" customWidth="1"/>
    <col min="776" max="1024" width="2.625" style="423" customWidth="1"/>
    <col min="1025" max="1025" width="14.625" style="423" customWidth="1"/>
    <col min="1026" max="1026" width="7.625" style="423" customWidth="1"/>
    <col min="1027" max="1027" width="20.625" style="423" customWidth="1"/>
    <col min="1028" max="1028" width="6.5" style="423" customWidth="1"/>
    <col min="1029" max="1029" width="9.75" style="423" customWidth="1"/>
    <col min="1030" max="1030" width="20" style="423" customWidth="1"/>
    <col min="1031" max="1031" width="12.375" style="423" customWidth="1"/>
    <col min="1032" max="1280" width="2.625" style="423" customWidth="1"/>
    <col min="1281" max="1281" width="14.625" style="423" customWidth="1"/>
    <col min="1282" max="1282" width="7.625" style="423" customWidth="1"/>
    <col min="1283" max="1283" width="20.625" style="423" customWidth="1"/>
    <col min="1284" max="1284" width="6.5" style="423" customWidth="1"/>
    <col min="1285" max="1285" width="9.75" style="423" customWidth="1"/>
    <col min="1286" max="1286" width="20" style="423" customWidth="1"/>
    <col min="1287" max="1287" width="12.375" style="423" customWidth="1"/>
    <col min="1288" max="1536" width="2.625" style="423" customWidth="1"/>
    <col min="1537" max="1537" width="14.625" style="423" customWidth="1"/>
    <col min="1538" max="1538" width="7.625" style="423" customWidth="1"/>
    <col min="1539" max="1539" width="20.625" style="423" customWidth="1"/>
    <col min="1540" max="1540" width="6.5" style="423" customWidth="1"/>
    <col min="1541" max="1541" width="9.75" style="423" customWidth="1"/>
    <col min="1542" max="1542" width="20" style="423" customWidth="1"/>
    <col min="1543" max="1543" width="12.375" style="423" customWidth="1"/>
    <col min="1544" max="1792" width="2.625" style="423" customWidth="1"/>
    <col min="1793" max="1793" width="14.625" style="423" customWidth="1"/>
    <col min="1794" max="1794" width="7.625" style="423" customWidth="1"/>
    <col min="1795" max="1795" width="20.625" style="423" customWidth="1"/>
    <col min="1796" max="1796" width="6.5" style="423" customWidth="1"/>
    <col min="1797" max="1797" width="9.75" style="423" customWidth="1"/>
    <col min="1798" max="1798" width="20" style="423" customWidth="1"/>
    <col min="1799" max="1799" width="12.375" style="423" customWidth="1"/>
    <col min="1800" max="2048" width="2.625" style="423" customWidth="1"/>
    <col min="2049" max="2049" width="14.625" style="423" customWidth="1"/>
    <col min="2050" max="2050" width="7.625" style="423" customWidth="1"/>
    <col min="2051" max="2051" width="20.625" style="423" customWidth="1"/>
    <col min="2052" max="2052" width="6.5" style="423" customWidth="1"/>
    <col min="2053" max="2053" width="9.75" style="423" customWidth="1"/>
    <col min="2054" max="2054" width="20" style="423" customWidth="1"/>
    <col min="2055" max="2055" width="12.375" style="423" customWidth="1"/>
    <col min="2056" max="2304" width="2.625" style="423" customWidth="1"/>
    <col min="2305" max="2305" width="14.625" style="423" customWidth="1"/>
    <col min="2306" max="2306" width="7.625" style="423" customWidth="1"/>
    <col min="2307" max="2307" width="20.625" style="423" customWidth="1"/>
    <col min="2308" max="2308" width="6.5" style="423" customWidth="1"/>
    <col min="2309" max="2309" width="9.75" style="423" customWidth="1"/>
    <col min="2310" max="2310" width="20" style="423" customWidth="1"/>
    <col min="2311" max="2311" width="12.375" style="423" customWidth="1"/>
    <col min="2312" max="2560" width="2.625" style="423" customWidth="1"/>
    <col min="2561" max="2561" width="14.625" style="423" customWidth="1"/>
    <col min="2562" max="2562" width="7.625" style="423" customWidth="1"/>
    <col min="2563" max="2563" width="20.625" style="423" customWidth="1"/>
    <col min="2564" max="2564" width="6.5" style="423" customWidth="1"/>
    <col min="2565" max="2565" width="9.75" style="423" customWidth="1"/>
    <col min="2566" max="2566" width="20" style="423" customWidth="1"/>
    <col min="2567" max="2567" width="12.375" style="423" customWidth="1"/>
    <col min="2568" max="2816" width="2.625" style="423" customWidth="1"/>
    <col min="2817" max="2817" width="14.625" style="423" customWidth="1"/>
    <col min="2818" max="2818" width="7.625" style="423" customWidth="1"/>
    <col min="2819" max="2819" width="20.625" style="423" customWidth="1"/>
    <col min="2820" max="2820" width="6.5" style="423" customWidth="1"/>
    <col min="2821" max="2821" width="9.75" style="423" customWidth="1"/>
    <col min="2822" max="2822" width="20" style="423" customWidth="1"/>
    <col min="2823" max="2823" width="12.375" style="423" customWidth="1"/>
    <col min="2824" max="3072" width="2.625" style="423" customWidth="1"/>
    <col min="3073" max="3073" width="14.625" style="423" customWidth="1"/>
    <col min="3074" max="3074" width="7.625" style="423" customWidth="1"/>
    <col min="3075" max="3075" width="20.625" style="423" customWidth="1"/>
    <col min="3076" max="3076" width="6.5" style="423" customWidth="1"/>
    <col min="3077" max="3077" width="9.75" style="423" customWidth="1"/>
    <col min="3078" max="3078" width="20" style="423" customWidth="1"/>
    <col min="3079" max="3079" width="12.375" style="423" customWidth="1"/>
    <col min="3080" max="3328" width="2.625" style="423" customWidth="1"/>
    <col min="3329" max="3329" width="14.625" style="423" customWidth="1"/>
    <col min="3330" max="3330" width="7.625" style="423" customWidth="1"/>
    <col min="3331" max="3331" width="20.625" style="423" customWidth="1"/>
    <col min="3332" max="3332" width="6.5" style="423" customWidth="1"/>
    <col min="3333" max="3333" width="9.75" style="423" customWidth="1"/>
    <col min="3334" max="3334" width="20" style="423" customWidth="1"/>
    <col min="3335" max="3335" width="12.375" style="423" customWidth="1"/>
    <col min="3336" max="3584" width="2.625" style="423" customWidth="1"/>
    <col min="3585" max="3585" width="14.625" style="423" customWidth="1"/>
    <col min="3586" max="3586" width="7.625" style="423" customWidth="1"/>
    <col min="3587" max="3587" width="20.625" style="423" customWidth="1"/>
    <col min="3588" max="3588" width="6.5" style="423" customWidth="1"/>
    <col min="3589" max="3589" width="9.75" style="423" customWidth="1"/>
    <col min="3590" max="3590" width="20" style="423" customWidth="1"/>
    <col min="3591" max="3591" width="12.375" style="423" customWidth="1"/>
    <col min="3592" max="3840" width="2.625" style="423" customWidth="1"/>
    <col min="3841" max="3841" width="14.625" style="423" customWidth="1"/>
    <col min="3842" max="3842" width="7.625" style="423" customWidth="1"/>
    <col min="3843" max="3843" width="20.625" style="423" customWidth="1"/>
    <col min="3844" max="3844" width="6.5" style="423" customWidth="1"/>
    <col min="3845" max="3845" width="9.75" style="423" customWidth="1"/>
    <col min="3846" max="3846" width="20" style="423" customWidth="1"/>
    <col min="3847" max="3847" width="12.375" style="423" customWidth="1"/>
    <col min="3848" max="4096" width="2.625" style="423" customWidth="1"/>
    <col min="4097" max="4097" width="14.625" style="423" customWidth="1"/>
    <col min="4098" max="4098" width="7.625" style="423" customWidth="1"/>
    <col min="4099" max="4099" width="20.625" style="423" customWidth="1"/>
    <col min="4100" max="4100" width="6.5" style="423" customWidth="1"/>
    <col min="4101" max="4101" width="9.75" style="423" customWidth="1"/>
    <col min="4102" max="4102" width="20" style="423" customWidth="1"/>
    <col min="4103" max="4103" width="12.375" style="423" customWidth="1"/>
    <col min="4104" max="4352" width="2.625" style="423" customWidth="1"/>
    <col min="4353" max="4353" width="14.625" style="423" customWidth="1"/>
    <col min="4354" max="4354" width="7.625" style="423" customWidth="1"/>
    <col min="4355" max="4355" width="20.625" style="423" customWidth="1"/>
    <col min="4356" max="4356" width="6.5" style="423" customWidth="1"/>
    <col min="4357" max="4357" width="9.75" style="423" customWidth="1"/>
    <col min="4358" max="4358" width="20" style="423" customWidth="1"/>
    <col min="4359" max="4359" width="12.375" style="423" customWidth="1"/>
    <col min="4360" max="4608" width="2.625" style="423" customWidth="1"/>
    <col min="4609" max="4609" width="14.625" style="423" customWidth="1"/>
    <col min="4610" max="4610" width="7.625" style="423" customWidth="1"/>
    <col min="4611" max="4611" width="20.625" style="423" customWidth="1"/>
    <col min="4612" max="4612" width="6.5" style="423" customWidth="1"/>
    <col min="4613" max="4613" width="9.75" style="423" customWidth="1"/>
    <col min="4614" max="4614" width="20" style="423" customWidth="1"/>
    <col min="4615" max="4615" width="12.375" style="423" customWidth="1"/>
    <col min="4616" max="4864" width="2.625" style="423" customWidth="1"/>
    <col min="4865" max="4865" width="14.625" style="423" customWidth="1"/>
    <col min="4866" max="4866" width="7.625" style="423" customWidth="1"/>
    <col min="4867" max="4867" width="20.625" style="423" customWidth="1"/>
    <col min="4868" max="4868" width="6.5" style="423" customWidth="1"/>
    <col min="4869" max="4869" width="9.75" style="423" customWidth="1"/>
    <col min="4870" max="4870" width="20" style="423" customWidth="1"/>
    <col min="4871" max="4871" width="12.375" style="423" customWidth="1"/>
    <col min="4872" max="5120" width="2.625" style="423" customWidth="1"/>
    <col min="5121" max="5121" width="14.625" style="423" customWidth="1"/>
    <col min="5122" max="5122" width="7.625" style="423" customWidth="1"/>
    <col min="5123" max="5123" width="20.625" style="423" customWidth="1"/>
    <col min="5124" max="5124" width="6.5" style="423" customWidth="1"/>
    <col min="5125" max="5125" width="9.75" style="423" customWidth="1"/>
    <col min="5126" max="5126" width="20" style="423" customWidth="1"/>
    <col min="5127" max="5127" width="12.375" style="423" customWidth="1"/>
    <col min="5128" max="5376" width="2.625" style="423" customWidth="1"/>
    <col min="5377" max="5377" width="14.625" style="423" customWidth="1"/>
    <col min="5378" max="5378" width="7.625" style="423" customWidth="1"/>
    <col min="5379" max="5379" width="20.625" style="423" customWidth="1"/>
    <col min="5380" max="5380" width="6.5" style="423" customWidth="1"/>
    <col min="5381" max="5381" width="9.75" style="423" customWidth="1"/>
    <col min="5382" max="5382" width="20" style="423" customWidth="1"/>
    <col min="5383" max="5383" width="12.375" style="423" customWidth="1"/>
    <col min="5384" max="5632" width="2.625" style="423" customWidth="1"/>
    <col min="5633" max="5633" width="14.625" style="423" customWidth="1"/>
    <col min="5634" max="5634" width="7.625" style="423" customWidth="1"/>
    <col min="5635" max="5635" width="20.625" style="423" customWidth="1"/>
    <col min="5636" max="5636" width="6.5" style="423" customWidth="1"/>
    <col min="5637" max="5637" width="9.75" style="423" customWidth="1"/>
    <col min="5638" max="5638" width="20" style="423" customWidth="1"/>
    <col min="5639" max="5639" width="12.375" style="423" customWidth="1"/>
    <col min="5640" max="5888" width="2.625" style="423" customWidth="1"/>
    <col min="5889" max="5889" width="14.625" style="423" customWidth="1"/>
    <col min="5890" max="5890" width="7.625" style="423" customWidth="1"/>
    <col min="5891" max="5891" width="20.625" style="423" customWidth="1"/>
    <col min="5892" max="5892" width="6.5" style="423" customWidth="1"/>
    <col min="5893" max="5893" width="9.75" style="423" customWidth="1"/>
    <col min="5894" max="5894" width="20" style="423" customWidth="1"/>
    <col min="5895" max="5895" width="12.375" style="423" customWidth="1"/>
    <col min="5896" max="6144" width="2.625" style="423" customWidth="1"/>
    <col min="6145" max="6145" width="14.625" style="423" customWidth="1"/>
    <col min="6146" max="6146" width="7.625" style="423" customWidth="1"/>
    <col min="6147" max="6147" width="20.625" style="423" customWidth="1"/>
    <col min="6148" max="6148" width="6.5" style="423" customWidth="1"/>
    <col min="6149" max="6149" width="9.75" style="423" customWidth="1"/>
    <col min="6150" max="6150" width="20" style="423" customWidth="1"/>
    <col min="6151" max="6151" width="12.375" style="423" customWidth="1"/>
    <col min="6152" max="6400" width="2.625" style="423" customWidth="1"/>
    <col min="6401" max="6401" width="14.625" style="423" customWidth="1"/>
    <col min="6402" max="6402" width="7.625" style="423" customWidth="1"/>
    <col min="6403" max="6403" width="20.625" style="423" customWidth="1"/>
    <col min="6404" max="6404" width="6.5" style="423" customWidth="1"/>
    <col min="6405" max="6405" width="9.75" style="423" customWidth="1"/>
    <col min="6406" max="6406" width="20" style="423" customWidth="1"/>
    <col min="6407" max="6407" width="12.375" style="423" customWidth="1"/>
    <col min="6408" max="6656" width="2.625" style="423" customWidth="1"/>
    <col min="6657" max="6657" width="14.625" style="423" customWidth="1"/>
    <col min="6658" max="6658" width="7.625" style="423" customWidth="1"/>
    <col min="6659" max="6659" width="20.625" style="423" customWidth="1"/>
    <col min="6660" max="6660" width="6.5" style="423" customWidth="1"/>
    <col min="6661" max="6661" width="9.75" style="423" customWidth="1"/>
    <col min="6662" max="6662" width="20" style="423" customWidth="1"/>
    <col min="6663" max="6663" width="12.375" style="423" customWidth="1"/>
    <col min="6664" max="6912" width="2.625" style="423" customWidth="1"/>
    <col min="6913" max="6913" width="14.625" style="423" customWidth="1"/>
    <col min="6914" max="6914" width="7.625" style="423" customWidth="1"/>
    <col min="6915" max="6915" width="20.625" style="423" customWidth="1"/>
    <col min="6916" max="6916" width="6.5" style="423" customWidth="1"/>
    <col min="6917" max="6917" width="9.75" style="423" customWidth="1"/>
    <col min="6918" max="6918" width="20" style="423" customWidth="1"/>
    <col min="6919" max="6919" width="12.375" style="423" customWidth="1"/>
    <col min="6920" max="7168" width="2.625" style="423" customWidth="1"/>
    <col min="7169" max="7169" width="14.625" style="423" customWidth="1"/>
    <col min="7170" max="7170" width="7.625" style="423" customWidth="1"/>
    <col min="7171" max="7171" width="20.625" style="423" customWidth="1"/>
    <col min="7172" max="7172" width="6.5" style="423" customWidth="1"/>
    <col min="7173" max="7173" width="9.75" style="423" customWidth="1"/>
    <col min="7174" max="7174" width="20" style="423" customWidth="1"/>
    <col min="7175" max="7175" width="12.375" style="423" customWidth="1"/>
    <col min="7176" max="7424" width="2.625" style="423" customWidth="1"/>
    <col min="7425" max="7425" width="14.625" style="423" customWidth="1"/>
    <col min="7426" max="7426" width="7.625" style="423" customWidth="1"/>
    <col min="7427" max="7427" width="20.625" style="423" customWidth="1"/>
    <col min="7428" max="7428" width="6.5" style="423" customWidth="1"/>
    <col min="7429" max="7429" width="9.75" style="423" customWidth="1"/>
    <col min="7430" max="7430" width="20" style="423" customWidth="1"/>
    <col min="7431" max="7431" width="12.375" style="423" customWidth="1"/>
    <col min="7432" max="7680" width="2.625" style="423" customWidth="1"/>
    <col min="7681" max="7681" width="14.625" style="423" customWidth="1"/>
    <col min="7682" max="7682" width="7.625" style="423" customWidth="1"/>
    <col min="7683" max="7683" width="20.625" style="423" customWidth="1"/>
    <col min="7684" max="7684" width="6.5" style="423" customWidth="1"/>
    <col min="7685" max="7685" width="9.75" style="423" customWidth="1"/>
    <col min="7686" max="7686" width="20" style="423" customWidth="1"/>
    <col min="7687" max="7687" width="12.375" style="423" customWidth="1"/>
    <col min="7688" max="7936" width="2.625" style="423" customWidth="1"/>
    <col min="7937" max="7937" width="14.625" style="423" customWidth="1"/>
    <col min="7938" max="7938" width="7.625" style="423" customWidth="1"/>
    <col min="7939" max="7939" width="20.625" style="423" customWidth="1"/>
    <col min="7940" max="7940" width="6.5" style="423" customWidth="1"/>
    <col min="7941" max="7941" width="9.75" style="423" customWidth="1"/>
    <col min="7942" max="7942" width="20" style="423" customWidth="1"/>
    <col min="7943" max="7943" width="12.375" style="423" customWidth="1"/>
    <col min="7944" max="8192" width="2.625" style="423" customWidth="1"/>
    <col min="8193" max="8193" width="14.625" style="423" customWidth="1"/>
    <col min="8194" max="8194" width="7.625" style="423" customWidth="1"/>
    <col min="8195" max="8195" width="20.625" style="423" customWidth="1"/>
    <col min="8196" max="8196" width="6.5" style="423" customWidth="1"/>
    <col min="8197" max="8197" width="9.75" style="423" customWidth="1"/>
    <col min="8198" max="8198" width="20" style="423" customWidth="1"/>
    <col min="8199" max="8199" width="12.375" style="423" customWidth="1"/>
    <col min="8200" max="8448" width="2.625" style="423" customWidth="1"/>
    <col min="8449" max="8449" width="14.625" style="423" customWidth="1"/>
    <col min="8450" max="8450" width="7.625" style="423" customWidth="1"/>
    <col min="8451" max="8451" width="20.625" style="423" customWidth="1"/>
    <col min="8452" max="8452" width="6.5" style="423" customWidth="1"/>
    <col min="8453" max="8453" width="9.75" style="423" customWidth="1"/>
    <col min="8454" max="8454" width="20" style="423" customWidth="1"/>
    <col min="8455" max="8455" width="12.375" style="423" customWidth="1"/>
    <col min="8456" max="8704" width="2.625" style="423" customWidth="1"/>
    <col min="8705" max="8705" width="14.625" style="423" customWidth="1"/>
    <col min="8706" max="8706" width="7.625" style="423" customWidth="1"/>
    <col min="8707" max="8707" width="20.625" style="423" customWidth="1"/>
    <col min="8708" max="8708" width="6.5" style="423" customWidth="1"/>
    <col min="8709" max="8709" width="9.75" style="423" customWidth="1"/>
    <col min="8710" max="8710" width="20" style="423" customWidth="1"/>
    <col min="8711" max="8711" width="12.375" style="423" customWidth="1"/>
    <col min="8712" max="8960" width="2.625" style="423" customWidth="1"/>
    <col min="8961" max="8961" width="14.625" style="423" customWidth="1"/>
    <col min="8962" max="8962" width="7.625" style="423" customWidth="1"/>
    <col min="8963" max="8963" width="20.625" style="423" customWidth="1"/>
    <col min="8964" max="8964" width="6.5" style="423" customWidth="1"/>
    <col min="8965" max="8965" width="9.75" style="423" customWidth="1"/>
    <col min="8966" max="8966" width="20" style="423" customWidth="1"/>
    <col min="8967" max="8967" width="12.375" style="423" customWidth="1"/>
    <col min="8968" max="9216" width="2.625" style="423" customWidth="1"/>
    <col min="9217" max="9217" width="14.625" style="423" customWidth="1"/>
    <col min="9218" max="9218" width="7.625" style="423" customWidth="1"/>
    <col min="9219" max="9219" width="20.625" style="423" customWidth="1"/>
    <col min="9220" max="9220" width="6.5" style="423" customWidth="1"/>
    <col min="9221" max="9221" width="9.75" style="423" customWidth="1"/>
    <col min="9222" max="9222" width="20" style="423" customWidth="1"/>
    <col min="9223" max="9223" width="12.375" style="423" customWidth="1"/>
    <col min="9224" max="9472" width="2.625" style="423" customWidth="1"/>
    <col min="9473" max="9473" width="14.625" style="423" customWidth="1"/>
    <col min="9474" max="9474" width="7.625" style="423" customWidth="1"/>
    <col min="9475" max="9475" width="20.625" style="423" customWidth="1"/>
    <col min="9476" max="9476" width="6.5" style="423" customWidth="1"/>
    <col min="9477" max="9477" width="9.75" style="423" customWidth="1"/>
    <col min="9478" max="9478" width="20" style="423" customWidth="1"/>
    <col min="9479" max="9479" width="12.375" style="423" customWidth="1"/>
    <col min="9480" max="9728" width="2.625" style="423" customWidth="1"/>
    <col min="9729" max="9729" width="14.625" style="423" customWidth="1"/>
    <col min="9730" max="9730" width="7.625" style="423" customWidth="1"/>
    <col min="9731" max="9731" width="20.625" style="423" customWidth="1"/>
    <col min="9732" max="9732" width="6.5" style="423" customWidth="1"/>
    <col min="9733" max="9733" width="9.75" style="423" customWidth="1"/>
    <col min="9734" max="9734" width="20" style="423" customWidth="1"/>
    <col min="9735" max="9735" width="12.375" style="423" customWidth="1"/>
    <col min="9736" max="9984" width="2.625" style="423" customWidth="1"/>
    <col min="9985" max="9985" width="14.625" style="423" customWidth="1"/>
    <col min="9986" max="9986" width="7.625" style="423" customWidth="1"/>
    <col min="9987" max="9987" width="20.625" style="423" customWidth="1"/>
    <col min="9988" max="9988" width="6.5" style="423" customWidth="1"/>
    <col min="9989" max="9989" width="9.75" style="423" customWidth="1"/>
    <col min="9990" max="9990" width="20" style="423" customWidth="1"/>
    <col min="9991" max="9991" width="12.375" style="423" customWidth="1"/>
    <col min="9992" max="10240" width="2.625" style="423" customWidth="1"/>
    <col min="10241" max="10241" width="14.625" style="423" customWidth="1"/>
    <col min="10242" max="10242" width="7.625" style="423" customWidth="1"/>
    <col min="10243" max="10243" width="20.625" style="423" customWidth="1"/>
    <col min="10244" max="10244" width="6.5" style="423" customWidth="1"/>
    <col min="10245" max="10245" width="9.75" style="423" customWidth="1"/>
    <col min="10246" max="10246" width="20" style="423" customWidth="1"/>
    <col min="10247" max="10247" width="12.375" style="423" customWidth="1"/>
    <col min="10248" max="10496" width="2.625" style="423" customWidth="1"/>
    <col min="10497" max="10497" width="14.625" style="423" customWidth="1"/>
    <col min="10498" max="10498" width="7.625" style="423" customWidth="1"/>
    <col min="10499" max="10499" width="20.625" style="423" customWidth="1"/>
    <col min="10500" max="10500" width="6.5" style="423" customWidth="1"/>
    <col min="10501" max="10501" width="9.75" style="423" customWidth="1"/>
    <col min="10502" max="10502" width="20" style="423" customWidth="1"/>
    <col min="10503" max="10503" width="12.375" style="423" customWidth="1"/>
    <col min="10504" max="10752" width="2.625" style="423" customWidth="1"/>
    <col min="10753" max="10753" width="14.625" style="423" customWidth="1"/>
    <col min="10754" max="10754" width="7.625" style="423" customWidth="1"/>
    <col min="10755" max="10755" width="20.625" style="423" customWidth="1"/>
    <col min="10756" max="10756" width="6.5" style="423" customWidth="1"/>
    <col min="10757" max="10757" width="9.75" style="423" customWidth="1"/>
    <col min="10758" max="10758" width="20" style="423" customWidth="1"/>
    <col min="10759" max="10759" width="12.375" style="423" customWidth="1"/>
    <col min="10760" max="11008" width="2.625" style="423" customWidth="1"/>
    <col min="11009" max="11009" width="14.625" style="423" customWidth="1"/>
    <col min="11010" max="11010" width="7.625" style="423" customWidth="1"/>
    <col min="11011" max="11011" width="20.625" style="423" customWidth="1"/>
    <col min="11012" max="11012" width="6.5" style="423" customWidth="1"/>
    <col min="11013" max="11013" width="9.75" style="423" customWidth="1"/>
    <col min="11014" max="11014" width="20" style="423" customWidth="1"/>
    <col min="11015" max="11015" width="12.375" style="423" customWidth="1"/>
    <col min="11016" max="11264" width="2.625" style="423" customWidth="1"/>
    <col min="11265" max="11265" width="14.625" style="423" customWidth="1"/>
    <col min="11266" max="11266" width="7.625" style="423" customWidth="1"/>
    <col min="11267" max="11267" width="20.625" style="423" customWidth="1"/>
    <col min="11268" max="11268" width="6.5" style="423" customWidth="1"/>
    <col min="11269" max="11269" width="9.75" style="423" customWidth="1"/>
    <col min="11270" max="11270" width="20" style="423" customWidth="1"/>
    <col min="11271" max="11271" width="12.375" style="423" customWidth="1"/>
    <col min="11272" max="11520" width="2.625" style="423" customWidth="1"/>
    <col min="11521" max="11521" width="14.625" style="423" customWidth="1"/>
    <col min="11522" max="11522" width="7.625" style="423" customWidth="1"/>
    <col min="11523" max="11523" width="20.625" style="423" customWidth="1"/>
    <col min="11524" max="11524" width="6.5" style="423" customWidth="1"/>
    <col min="11525" max="11525" width="9.75" style="423" customWidth="1"/>
    <col min="11526" max="11526" width="20" style="423" customWidth="1"/>
    <col min="11527" max="11527" width="12.375" style="423" customWidth="1"/>
    <col min="11528" max="11776" width="2.625" style="423" customWidth="1"/>
    <col min="11777" max="11777" width="14.625" style="423" customWidth="1"/>
    <col min="11778" max="11778" width="7.625" style="423" customWidth="1"/>
    <col min="11779" max="11779" width="20.625" style="423" customWidth="1"/>
    <col min="11780" max="11780" width="6.5" style="423" customWidth="1"/>
    <col min="11781" max="11781" width="9.75" style="423" customWidth="1"/>
    <col min="11782" max="11782" width="20" style="423" customWidth="1"/>
    <col min="11783" max="11783" width="12.375" style="423" customWidth="1"/>
    <col min="11784" max="12032" width="2.625" style="423" customWidth="1"/>
    <col min="12033" max="12033" width="14.625" style="423" customWidth="1"/>
    <col min="12034" max="12034" width="7.625" style="423" customWidth="1"/>
    <col min="12035" max="12035" width="20.625" style="423" customWidth="1"/>
    <col min="12036" max="12036" width="6.5" style="423" customWidth="1"/>
    <col min="12037" max="12037" width="9.75" style="423" customWidth="1"/>
    <col min="12038" max="12038" width="20" style="423" customWidth="1"/>
    <col min="12039" max="12039" width="12.375" style="423" customWidth="1"/>
    <col min="12040" max="12288" width="2.625" style="423" customWidth="1"/>
    <col min="12289" max="12289" width="14.625" style="423" customWidth="1"/>
    <col min="12290" max="12290" width="7.625" style="423" customWidth="1"/>
    <col min="12291" max="12291" width="20.625" style="423" customWidth="1"/>
    <col min="12292" max="12292" width="6.5" style="423" customWidth="1"/>
    <col min="12293" max="12293" width="9.75" style="423" customWidth="1"/>
    <col min="12294" max="12294" width="20" style="423" customWidth="1"/>
    <col min="12295" max="12295" width="12.375" style="423" customWidth="1"/>
    <col min="12296" max="12544" width="2.625" style="423" customWidth="1"/>
    <col min="12545" max="12545" width="14.625" style="423" customWidth="1"/>
    <col min="12546" max="12546" width="7.625" style="423" customWidth="1"/>
    <col min="12547" max="12547" width="20.625" style="423" customWidth="1"/>
    <col min="12548" max="12548" width="6.5" style="423" customWidth="1"/>
    <col min="12549" max="12549" width="9.75" style="423" customWidth="1"/>
    <col min="12550" max="12550" width="20" style="423" customWidth="1"/>
    <col min="12551" max="12551" width="12.375" style="423" customWidth="1"/>
    <col min="12552" max="12800" width="2.625" style="423" customWidth="1"/>
    <col min="12801" max="12801" width="14.625" style="423" customWidth="1"/>
    <col min="12802" max="12802" width="7.625" style="423" customWidth="1"/>
    <col min="12803" max="12803" width="20.625" style="423" customWidth="1"/>
    <col min="12804" max="12804" width="6.5" style="423" customWidth="1"/>
    <col min="12805" max="12805" width="9.75" style="423" customWidth="1"/>
    <col min="12806" max="12806" width="20" style="423" customWidth="1"/>
    <col min="12807" max="12807" width="12.375" style="423" customWidth="1"/>
    <col min="12808" max="13056" width="2.625" style="423" customWidth="1"/>
    <col min="13057" max="13057" width="14.625" style="423" customWidth="1"/>
    <col min="13058" max="13058" width="7.625" style="423" customWidth="1"/>
    <col min="13059" max="13059" width="20.625" style="423" customWidth="1"/>
    <col min="13060" max="13060" width="6.5" style="423" customWidth="1"/>
    <col min="13061" max="13061" width="9.75" style="423" customWidth="1"/>
    <col min="13062" max="13062" width="20" style="423" customWidth="1"/>
    <col min="13063" max="13063" width="12.375" style="423" customWidth="1"/>
    <col min="13064" max="13312" width="2.625" style="423" customWidth="1"/>
    <col min="13313" max="13313" width="14.625" style="423" customWidth="1"/>
    <col min="13314" max="13314" width="7.625" style="423" customWidth="1"/>
    <col min="13315" max="13315" width="20.625" style="423" customWidth="1"/>
    <col min="13316" max="13316" width="6.5" style="423" customWidth="1"/>
    <col min="13317" max="13317" width="9.75" style="423" customWidth="1"/>
    <col min="13318" max="13318" width="20" style="423" customWidth="1"/>
    <col min="13319" max="13319" width="12.375" style="423" customWidth="1"/>
    <col min="13320" max="13568" width="2.625" style="423" customWidth="1"/>
    <col min="13569" max="13569" width="14.625" style="423" customWidth="1"/>
    <col min="13570" max="13570" width="7.625" style="423" customWidth="1"/>
    <col min="13571" max="13571" width="20.625" style="423" customWidth="1"/>
    <col min="13572" max="13572" width="6.5" style="423" customWidth="1"/>
    <col min="13573" max="13573" width="9.75" style="423" customWidth="1"/>
    <col min="13574" max="13574" width="20" style="423" customWidth="1"/>
    <col min="13575" max="13575" width="12.375" style="423" customWidth="1"/>
    <col min="13576" max="13824" width="2.625" style="423" customWidth="1"/>
    <col min="13825" max="13825" width="14.625" style="423" customWidth="1"/>
    <col min="13826" max="13826" width="7.625" style="423" customWidth="1"/>
    <col min="13827" max="13827" width="20.625" style="423" customWidth="1"/>
    <col min="13828" max="13828" width="6.5" style="423" customWidth="1"/>
    <col min="13829" max="13829" width="9.75" style="423" customWidth="1"/>
    <col min="13830" max="13830" width="20" style="423" customWidth="1"/>
    <col min="13831" max="13831" width="12.375" style="423" customWidth="1"/>
    <col min="13832" max="14080" width="2.625" style="423" customWidth="1"/>
    <col min="14081" max="14081" width="14.625" style="423" customWidth="1"/>
    <col min="14082" max="14082" width="7.625" style="423" customWidth="1"/>
    <col min="14083" max="14083" width="20.625" style="423" customWidth="1"/>
    <col min="14084" max="14084" width="6.5" style="423" customWidth="1"/>
    <col min="14085" max="14085" width="9.75" style="423" customWidth="1"/>
    <col min="14086" max="14086" width="20" style="423" customWidth="1"/>
    <col min="14087" max="14087" width="12.375" style="423" customWidth="1"/>
    <col min="14088" max="14336" width="2.625" style="423" customWidth="1"/>
    <col min="14337" max="14337" width="14.625" style="423" customWidth="1"/>
    <col min="14338" max="14338" width="7.625" style="423" customWidth="1"/>
    <col min="14339" max="14339" width="20.625" style="423" customWidth="1"/>
    <col min="14340" max="14340" width="6.5" style="423" customWidth="1"/>
    <col min="14341" max="14341" width="9.75" style="423" customWidth="1"/>
    <col min="14342" max="14342" width="20" style="423" customWidth="1"/>
    <col min="14343" max="14343" width="12.375" style="423" customWidth="1"/>
    <col min="14344" max="14592" width="2.625" style="423" customWidth="1"/>
    <col min="14593" max="14593" width="14.625" style="423" customWidth="1"/>
    <col min="14594" max="14594" width="7.625" style="423" customWidth="1"/>
    <col min="14595" max="14595" width="20.625" style="423" customWidth="1"/>
    <col min="14596" max="14596" width="6.5" style="423" customWidth="1"/>
    <col min="14597" max="14597" width="9.75" style="423" customWidth="1"/>
    <col min="14598" max="14598" width="20" style="423" customWidth="1"/>
    <col min="14599" max="14599" width="12.375" style="423" customWidth="1"/>
    <col min="14600" max="14848" width="2.625" style="423" customWidth="1"/>
    <col min="14849" max="14849" width="14.625" style="423" customWidth="1"/>
    <col min="14850" max="14850" width="7.625" style="423" customWidth="1"/>
    <col min="14851" max="14851" width="20.625" style="423" customWidth="1"/>
    <col min="14852" max="14852" width="6.5" style="423" customWidth="1"/>
    <col min="14853" max="14853" width="9.75" style="423" customWidth="1"/>
    <col min="14854" max="14854" width="20" style="423" customWidth="1"/>
    <col min="14855" max="14855" width="12.375" style="423" customWidth="1"/>
    <col min="14856" max="15104" width="2.625" style="423" customWidth="1"/>
    <col min="15105" max="15105" width="14.625" style="423" customWidth="1"/>
    <col min="15106" max="15106" width="7.625" style="423" customWidth="1"/>
    <col min="15107" max="15107" width="20.625" style="423" customWidth="1"/>
    <col min="15108" max="15108" width="6.5" style="423" customWidth="1"/>
    <col min="15109" max="15109" width="9.75" style="423" customWidth="1"/>
    <col min="15110" max="15110" width="20" style="423" customWidth="1"/>
    <col min="15111" max="15111" width="12.375" style="423" customWidth="1"/>
    <col min="15112" max="15360" width="2.625" style="423" customWidth="1"/>
    <col min="15361" max="15361" width="14.625" style="423" customWidth="1"/>
    <col min="15362" max="15362" width="7.625" style="423" customWidth="1"/>
    <col min="15363" max="15363" width="20.625" style="423" customWidth="1"/>
    <col min="15364" max="15364" width="6.5" style="423" customWidth="1"/>
    <col min="15365" max="15365" width="9.75" style="423" customWidth="1"/>
    <col min="15366" max="15366" width="20" style="423" customWidth="1"/>
    <col min="15367" max="15367" width="12.375" style="423" customWidth="1"/>
    <col min="15368" max="15616" width="2.625" style="423" customWidth="1"/>
    <col min="15617" max="15617" width="14.625" style="423" customWidth="1"/>
    <col min="15618" max="15618" width="7.625" style="423" customWidth="1"/>
    <col min="15619" max="15619" width="20.625" style="423" customWidth="1"/>
    <col min="15620" max="15620" width="6.5" style="423" customWidth="1"/>
    <col min="15621" max="15621" width="9.75" style="423" customWidth="1"/>
    <col min="15622" max="15622" width="20" style="423" customWidth="1"/>
    <col min="15623" max="15623" width="12.375" style="423" customWidth="1"/>
    <col min="15624" max="15872" width="2.625" style="423" customWidth="1"/>
    <col min="15873" max="15873" width="14.625" style="423" customWidth="1"/>
    <col min="15874" max="15874" width="7.625" style="423" customWidth="1"/>
    <col min="15875" max="15875" width="20.625" style="423" customWidth="1"/>
    <col min="15876" max="15876" width="6.5" style="423" customWidth="1"/>
    <col min="15877" max="15877" width="9.75" style="423" customWidth="1"/>
    <col min="15878" max="15878" width="20" style="423" customWidth="1"/>
    <col min="15879" max="15879" width="12.375" style="423" customWidth="1"/>
    <col min="15880" max="16128" width="2.625" style="423" customWidth="1"/>
    <col min="16129" max="16129" width="14.625" style="423" customWidth="1"/>
    <col min="16130" max="16130" width="7.625" style="423" customWidth="1"/>
    <col min="16131" max="16131" width="20.625" style="423" customWidth="1"/>
    <col min="16132" max="16132" width="6.5" style="423" customWidth="1"/>
    <col min="16133" max="16133" width="9.75" style="423" customWidth="1"/>
    <col min="16134" max="16134" width="20" style="423" customWidth="1"/>
    <col min="16135" max="16135" width="12.375" style="423" customWidth="1"/>
    <col min="16136" max="16384" width="2.625" style="423" customWidth="1"/>
  </cols>
  <sheetData>
    <row r="1" spans="1:33" ht="22.5" customHeight="1">
      <c r="A1" s="603" t="s">
        <v>3141</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row>
    <row r="2" spans="1:33" ht="22.5" customHeight="1">
      <c r="C2" s="424"/>
      <c r="D2" s="425"/>
      <c r="E2" s="425"/>
      <c r="F2" s="425"/>
      <c r="G2" s="425"/>
      <c r="W2" s="426"/>
      <c r="X2" s="426"/>
      <c r="Y2" s="438"/>
      <c r="Z2" s="607"/>
      <c r="AA2" s="607"/>
      <c r="AB2" s="427" t="s">
        <v>464</v>
      </c>
      <c r="AC2" s="450"/>
      <c r="AD2" s="427" t="s">
        <v>1</v>
      </c>
      <c r="AE2" s="450"/>
      <c r="AF2" s="427" t="s">
        <v>465</v>
      </c>
      <c r="AG2" s="426"/>
    </row>
    <row r="3" spans="1:33" ht="22.5" customHeight="1">
      <c r="A3" s="428" t="s">
        <v>3142</v>
      </c>
      <c r="B3" s="424"/>
      <c r="C3" s="424"/>
      <c r="D3" s="425"/>
      <c r="E3" s="425"/>
      <c r="F3" s="425"/>
      <c r="G3" s="425"/>
    </row>
    <row r="4" spans="1:33" ht="22.5" customHeight="1">
      <c r="B4" s="431" t="str">
        <f ca="1">cst_Pre_Daihyou__SHINSEI&amp;"　様"</f>
        <v>理事長 　柳　敏幸　様</v>
      </c>
      <c r="C4" s="432"/>
      <c r="D4" s="432"/>
      <c r="E4" s="433"/>
      <c r="F4" s="433"/>
      <c r="G4" s="433"/>
      <c r="P4" s="423" t="s">
        <v>2832</v>
      </c>
      <c r="S4" s="423" t="s">
        <v>13</v>
      </c>
      <c r="U4" s="608" t="str">
        <f>cst_wskakunin_owner1__address</f>
        <v>静岡県静岡市葵区新伝馬二丁目8-41-101</v>
      </c>
      <c r="V4" s="608"/>
      <c r="W4" s="608"/>
      <c r="X4" s="608"/>
      <c r="Y4" s="608"/>
      <c r="Z4" s="608"/>
      <c r="AA4" s="608"/>
      <c r="AB4" s="608"/>
      <c r="AC4" s="608"/>
      <c r="AD4" s="608"/>
      <c r="AE4" s="608"/>
      <c r="AF4" s="608"/>
      <c r="AG4" s="608"/>
    </row>
    <row r="5" spans="1:33" ht="22.5" customHeight="1">
      <c r="A5" s="429"/>
      <c r="B5" s="424"/>
      <c r="C5" s="424"/>
      <c r="D5" s="425"/>
      <c r="E5" s="425"/>
      <c r="F5" s="425"/>
      <c r="G5" s="425"/>
      <c r="S5" s="423" t="s">
        <v>11</v>
      </c>
      <c r="U5" s="609" t="str">
        <f>cst_wskakunin_owner1__space3</f>
        <v>菅野　幸子</v>
      </c>
      <c r="V5" s="609"/>
      <c r="W5" s="609"/>
      <c r="X5" s="609"/>
      <c r="Y5" s="609"/>
      <c r="Z5" s="609"/>
      <c r="AA5" s="609"/>
      <c r="AB5" s="609"/>
      <c r="AC5" s="609"/>
      <c r="AD5" s="609"/>
      <c r="AE5" s="609"/>
      <c r="AF5" s="609"/>
      <c r="AG5" s="609"/>
    </row>
    <row r="6" spans="1:33" ht="22.5" customHeight="1">
      <c r="A6" s="426" t="s">
        <v>3143</v>
      </c>
    </row>
    <row r="7" spans="1:33" ht="30.75" customHeight="1">
      <c r="A7" s="604"/>
      <c r="B7" s="604"/>
      <c r="C7" s="604"/>
      <c r="D7" s="604"/>
      <c r="E7" s="604"/>
      <c r="F7" s="604"/>
      <c r="G7" s="604"/>
      <c r="H7" s="605" t="s">
        <v>3144</v>
      </c>
      <c r="I7" s="605"/>
      <c r="J7" s="605"/>
      <c r="K7" s="605"/>
      <c r="L7" s="605"/>
      <c r="M7" s="605"/>
      <c r="N7" s="605"/>
      <c r="O7" s="606" t="s">
        <v>2778</v>
      </c>
      <c r="P7" s="606"/>
      <c r="Q7" s="606"/>
      <c r="R7" s="606"/>
      <c r="S7" s="606"/>
      <c r="T7" s="606"/>
      <c r="U7" s="605" t="s">
        <v>3145</v>
      </c>
      <c r="V7" s="605"/>
      <c r="W7" s="605"/>
      <c r="X7" s="605"/>
      <c r="Y7" s="605"/>
      <c r="Z7" s="605"/>
      <c r="AA7" s="605"/>
      <c r="AB7" s="605" t="s">
        <v>2781</v>
      </c>
      <c r="AC7" s="605"/>
      <c r="AD7" s="605"/>
      <c r="AE7" s="605"/>
      <c r="AF7" s="605"/>
      <c r="AG7" s="605"/>
    </row>
    <row r="8" spans="1:33" ht="60" customHeight="1">
      <c r="A8" s="602" t="s">
        <v>3146</v>
      </c>
      <c r="B8" s="602"/>
      <c r="C8" s="602"/>
      <c r="D8" s="602"/>
      <c r="E8" s="602"/>
      <c r="F8" s="602"/>
      <c r="G8" s="602"/>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row>
    <row r="9" spans="1:33" ht="60" customHeight="1">
      <c r="A9" s="602" t="s">
        <v>3147</v>
      </c>
      <c r="B9" s="602"/>
      <c r="C9" s="602"/>
      <c r="D9" s="602"/>
      <c r="E9" s="602"/>
      <c r="F9" s="602"/>
      <c r="G9" s="602"/>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row>
    <row r="10" spans="1:33" ht="60" customHeight="1">
      <c r="A10" s="602" t="s">
        <v>3148</v>
      </c>
      <c r="B10" s="602"/>
      <c r="C10" s="602"/>
      <c r="D10" s="602"/>
      <c r="E10" s="602"/>
      <c r="F10" s="602"/>
      <c r="G10" s="602"/>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row>
    <row r="11" spans="1:33" ht="60" customHeight="1">
      <c r="A11" s="602" t="s">
        <v>3149</v>
      </c>
      <c r="B11" s="602"/>
      <c r="C11" s="602"/>
      <c r="D11" s="602"/>
      <c r="E11" s="602"/>
      <c r="F11" s="602"/>
      <c r="G11" s="602"/>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row>
    <row r="12" spans="1:33" ht="60" customHeight="1">
      <c r="A12" s="602" t="s">
        <v>3150</v>
      </c>
      <c r="B12" s="602"/>
      <c r="C12" s="602"/>
      <c r="D12" s="602"/>
      <c r="E12" s="602"/>
      <c r="F12" s="602"/>
      <c r="G12" s="602"/>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row>
    <row r="13" spans="1:33" ht="60" customHeight="1">
      <c r="A13" s="602" t="s">
        <v>3151</v>
      </c>
      <c r="B13" s="602"/>
      <c r="C13" s="602"/>
      <c r="D13" s="602"/>
      <c r="E13" s="602"/>
      <c r="F13" s="602"/>
      <c r="G13" s="602"/>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row>
    <row r="14" spans="1:33" ht="60" customHeight="1">
      <c r="A14" s="602" t="s">
        <v>3152</v>
      </c>
      <c r="B14" s="602"/>
      <c r="C14" s="602"/>
      <c r="D14" s="602"/>
      <c r="E14" s="602"/>
      <c r="F14" s="602"/>
      <c r="G14" s="602"/>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row>
    <row r="15" spans="1:33" ht="60" customHeight="1">
      <c r="A15" s="602" t="s">
        <v>3153</v>
      </c>
      <c r="B15" s="602"/>
      <c r="C15" s="602"/>
      <c r="D15" s="602"/>
      <c r="E15" s="602"/>
      <c r="F15" s="602"/>
      <c r="G15" s="602"/>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row>
    <row r="16" spans="1:33" ht="60" customHeight="1">
      <c r="A16" s="602" t="s">
        <v>3154</v>
      </c>
      <c r="B16" s="602"/>
      <c r="C16" s="602"/>
      <c r="D16" s="602"/>
      <c r="E16" s="602"/>
      <c r="F16" s="602"/>
      <c r="G16" s="602"/>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row>
    <row r="17" spans="1:33" ht="60" customHeight="1">
      <c r="A17" s="602" t="s">
        <v>3155</v>
      </c>
      <c r="B17" s="602"/>
      <c r="C17" s="602"/>
      <c r="D17" s="602"/>
      <c r="E17" s="602"/>
      <c r="F17" s="602"/>
      <c r="G17" s="602"/>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row>
    <row r="18" spans="1:33" ht="42" customHeight="1">
      <c r="A18" s="602" t="s">
        <v>484</v>
      </c>
      <c r="B18" s="602"/>
      <c r="C18" s="602"/>
      <c r="D18" s="602"/>
      <c r="E18" s="602"/>
      <c r="F18" s="602"/>
      <c r="G18" s="602"/>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row>
    <row r="19" spans="1:33" ht="16.5" customHeight="1">
      <c r="A19" s="430"/>
      <c r="B19" s="430"/>
      <c r="C19" s="430"/>
      <c r="D19" s="430"/>
      <c r="E19" s="430"/>
      <c r="F19" s="430"/>
      <c r="G19" s="430"/>
      <c r="H19" s="430"/>
    </row>
    <row r="20" spans="1:33" ht="16.5" customHeight="1">
      <c r="A20" s="430"/>
      <c r="B20" s="430"/>
      <c r="C20" s="430"/>
      <c r="D20" s="430"/>
      <c r="E20" s="430"/>
      <c r="F20" s="430"/>
      <c r="G20" s="430"/>
      <c r="H20" s="430"/>
    </row>
    <row r="21" spans="1:33" ht="16.5" customHeight="1">
      <c r="A21" s="430"/>
      <c r="B21" s="430"/>
      <c r="C21" s="430"/>
      <c r="D21" s="430"/>
      <c r="E21" s="430"/>
      <c r="F21" s="430"/>
      <c r="G21" s="430"/>
      <c r="H21" s="430"/>
    </row>
    <row r="22" spans="1:33" ht="16.5" customHeight="1">
      <c r="A22" s="430"/>
      <c r="B22" s="430"/>
      <c r="C22" s="430"/>
      <c r="D22" s="430"/>
      <c r="E22" s="430"/>
      <c r="F22" s="430"/>
      <c r="G22" s="430"/>
      <c r="H22" s="430"/>
    </row>
    <row r="23" spans="1:33" ht="16.5" customHeight="1">
      <c r="A23" s="430"/>
      <c r="B23" s="430"/>
      <c r="C23" s="430"/>
      <c r="D23" s="430"/>
      <c r="E23" s="430"/>
      <c r="F23" s="430"/>
      <c r="G23" s="430"/>
      <c r="H23" s="430"/>
    </row>
    <row r="24" spans="1:33" ht="16.5" customHeight="1">
      <c r="A24" s="430"/>
      <c r="B24" s="430"/>
      <c r="C24" s="430"/>
      <c r="D24" s="430"/>
      <c r="E24" s="430"/>
      <c r="F24" s="430"/>
      <c r="G24" s="430"/>
      <c r="H24" s="430"/>
    </row>
    <row r="25" spans="1:33" ht="16.5" customHeight="1">
      <c r="A25" s="430"/>
      <c r="B25" s="430"/>
      <c r="C25" s="430"/>
      <c r="D25" s="430"/>
      <c r="E25" s="430"/>
      <c r="F25" s="430"/>
      <c r="G25" s="430"/>
      <c r="H25" s="430"/>
    </row>
    <row r="26" spans="1:33" ht="16.5" customHeight="1">
      <c r="A26" s="430"/>
      <c r="B26" s="430"/>
      <c r="C26" s="430"/>
      <c r="D26" s="430"/>
      <c r="E26" s="430"/>
      <c r="F26" s="430"/>
      <c r="G26" s="430"/>
      <c r="H26" s="430"/>
    </row>
  </sheetData>
  <mergeCells count="61">
    <mergeCell ref="A18:G18"/>
    <mergeCell ref="H18:AG18"/>
    <mergeCell ref="U5:AG5"/>
    <mergeCell ref="A16:G16"/>
    <mergeCell ref="H16:N16"/>
    <mergeCell ref="O16:T16"/>
    <mergeCell ref="U16:AA16"/>
    <mergeCell ref="AB16:AG16"/>
    <mergeCell ref="A17:G17"/>
    <mergeCell ref="H17:N17"/>
    <mergeCell ref="O17:T17"/>
    <mergeCell ref="U17:AA17"/>
    <mergeCell ref="AB17:AG17"/>
    <mergeCell ref="A14:G14"/>
    <mergeCell ref="H14:N14"/>
    <mergeCell ref="O14:T14"/>
    <mergeCell ref="U14:AA14"/>
    <mergeCell ref="AB14:AG14"/>
    <mergeCell ref="A15:G15"/>
    <mergeCell ref="H15:N15"/>
    <mergeCell ref="O15:T15"/>
    <mergeCell ref="U15:AA15"/>
    <mergeCell ref="AB15:AG15"/>
    <mergeCell ref="U13:AA13"/>
    <mergeCell ref="AB13:AG13"/>
    <mergeCell ref="A12:G12"/>
    <mergeCell ref="H12:N12"/>
    <mergeCell ref="O12:T12"/>
    <mergeCell ref="U12:AA12"/>
    <mergeCell ref="AB12:AG12"/>
    <mergeCell ref="H9:N9"/>
    <mergeCell ref="O9:T9"/>
    <mergeCell ref="A13:G13"/>
    <mergeCell ref="H13:N13"/>
    <mergeCell ref="O13:T13"/>
    <mergeCell ref="A10:G10"/>
    <mergeCell ref="H10:N10"/>
    <mergeCell ref="O10:T10"/>
    <mergeCell ref="U10:AA10"/>
    <mergeCell ref="AB10:AG10"/>
    <mergeCell ref="A11:G11"/>
    <mergeCell ref="H11:N11"/>
    <mergeCell ref="O11:T11"/>
    <mergeCell ref="U11:AA11"/>
    <mergeCell ref="AB11:AG11"/>
    <mergeCell ref="U9:AA9"/>
    <mergeCell ref="AB9:AG9"/>
    <mergeCell ref="A8:G8"/>
    <mergeCell ref="H8:N8"/>
    <mergeCell ref="A1:AG1"/>
    <mergeCell ref="A7:G7"/>
    <mergeCell ref="H7:N7"/>
    <mergeCell ref="O7:T7"/>
    <mergeCell ref="U7:AA7"/>
    <mergeCell ref="AB7:AG7"/>
    <mergeCell ref="Z2:AA2"/>
    <mergeCell ref="U4:AG4"/>
    <mergeCell ref="O8:T8"/>
    <mergeCell ref="U8:AA8"/>
    <mergeCell ref="AB8:AG8"/>
    <mergeCell ref="A9:G9"/>
  </mergeCells>
  <phoneticPr fontId="57"/>
  <printOptions horizontalCentered="1"/>
  <pageMargins left="0.39370078740157483" right="0.39370078740157483" top="0.78740157480314965" bottom="0.55118110236220474" header="0.31496062992125984" footer="0.31496062992125984"/>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240"/>
  <sheetViews>
    <sheetView zoomScale="110" zoomScaleNormal="110" workbookViewId="0"/>
  </sheetViews>
  <sheetFormatPr defaultColWidth="1.25" defaultRowHeight="13.5"/>
  <cols>
    <col min="1" max="1" width="1.25" style="338" customWidth="1"/>
    <col min="2" max="16384" width="1.25" style="338"/>
  </cols>
  <sheetData>
    <row r="1" spans="2:70">
      <c r="B1" s="383" t="s">
        <v>3017</v>
      </c>
      <c r="C1" s="383"/>
      <c r="D1" s="383"/>
      <c r="E1" s="383"/>
      <c r="F1" s="383"/>
      <c r="G1" s="383"/>
      <c r="H1" s="383"/>
      <c r="I1" s="383"/>
      <c r="J1" s="383"/>
      <c r="K1" s="383"/>
      <c r="L1" s="383"/>
      <c r="M1" s="383"/>
      <c r="N1" s="383"/>
      <c r="O1" s="383"/>
      <c r="P1" s="383"/>
      <c r="Q1" s="383"/>
      <c r="R1" s="383"/>
    </row>
    <row r="2" spans="2:70" ht="6" customHeight="1">
      <c r="B2" s="382"/>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c r="BO2" s="370"/>
      <c r="BP2" s="370"/>
      <c r="BQ2" s="370"/>
      <c r="BR2" s="369"/>
    </row>
    <row r="3" spans="2:70" ht="6" customHeight="1">
      <c r="B3" s="348"/>
      <c r="BR3" s="345"/>
    </row>
    <row r="4" spans="2:70" ht="6" customHeight="1">
      <c r="B4" s="348"/>
      <c r="BR4" s="345"/>
    </row>
    <row r="5" spans="2:70" ht="6" customHeight="1">
      <c r="B5" s="635" t="s">
        <v>3016</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6"/>
      <c r="AO5" s="636"/>
      <c r="AP5" s="636"/>
      <c r="AQ5" s="636"/>
      <c r="AR5" s="636"/>
      <c r="AS5" s="636"/>
      <c r="AT5" s="636"/>
      <c r="AU5" s="636"/>
      <c r="AV5" s="636"/>
      <c r="AW5" s="636"/>
      <c r="AX5" s="636"/>
      <c r="AY5" s="636"/>
      <c r="AZ5" s="636"/>
      <c r="BA5" s="636"/>
      <c r="BB5" s="636"/>
      <c r="BC5" s="636"/>
      <c r="BD5" s="636"/>
      <c r="BE5" s="636"/>
      <c r="BF5" s="636"/>
      <c r="BG5" s="636"/>
      <c r="BH5" s="636"/>
      <c r="BI5" s="636"/>
      <c r="BJ5" s="636"/>
      <c r="BK5" s="636"/>
      <c r="BL5" s="636"/>
      <c r="BM5" s="636"/>
      <c r="BN5" s="636"/>
      <c r="BO5" s="636"/>
      <c r="BP5" s="636"/>
      <c r="BQ5" s="636"/>
      <c r="BR5" s="637"/>
    </row>
    <row r="6" spans="2:70" ht="6" customHeight="1">
      <c r="B6" s="635"/>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636"/>
      <c r="AV6" s="636"/>
      <c r="AW6" s="636"/>
      <c r="AX6" s="636"/>
      <c r="AY6" s="636"/>
      <c r="AZ6" s="636"/>
      <c r="BA6" s="636"/>
      <c r="BB6" s="636"/>
      <c r="BC6" s="636"/>
      <c r="BD6" s="636"/>
      <c r="BE6" s="636"/>
      <c r="BF6" s="636"/>
      <c r="BG6" s="636"/>
      <c r="BH6" s="636"/>
      <c r="BI6" s="636"/>
      <c r="BJ6" s="636"/>
      <c r="BK6" s="636"/>
      <c r="BL6" s="636"/>
      <c r="BM6" s="636"/>
      <c r="BN6" s="636"/>
      <c r="BO6" s="636"/>
      <c r="BP6" s="636"/>
      <c r="BQ6" s="636"/>
      <c r="BR6" s="637"/>
    </row>
    <row r="7" spans="2:70" ht="6" customHeight="1">
      <c r="B7" s="635"/>
      <c r="C7" s="636"/>
      <c r="D7" s="636"/>
      <c r="E7" s="636"/>
      <c r="F7" s="636"/>
      <c r="G7" s="636"/>
      <c r="H7" s="636"/>
      <c r="I7" s="636"/>
      <c r="J7" s="636"/>
      <c r="K7" s="636"/>
      <c r="L7" s="636"/>
      <c r="M7" s="636"/>
      <c r="N7" s="636"/>
      <c r="O7" s="636"/>
      <c r="P7" s="636"/>
      <c r="Q7" s="636"/>
      <c r="R7" s="636"/>
      <c r="S7" s="636"/>
      <c r="T7" s="636"/>
      <c r="U7" s="636"/>
      <c r="V7" s="636"/>
      <c r="W7" s="636"/>
      <c r="X7" s="636"/>
      <c r="Y7" s="636"/>
      <c r="Z7" s="636"/>
      <c r="AA7" s="636"/>
      <c r="AB7" s="636"/>
      <c r="AC7" s="636"/>
      <c r="AD7" s="636"/>
      <c r="AE7" s="636"/>
      <c r="AF7" s="636"/>
      <c r="AG7" s="636"/>
      <c r="AH7" s="636"/>
      <c r="AI7" s="636"/>
      <c r="AJ7" s="636"/>
      <c r="AK7" s="636"/>
      <c r="AL7" s="636"/>
      <c r="AM7" s="636"/>
      <c r="AN7" s="636"/>
      <c r="AO7" s="636"/>
      <c r="AP7" s="636"/>
      <c r="AQ7" s="636"/>
      <c r="AR7" s="636"/>
      <c r="AS7" s="636"/>
      <c r="AT7" s="636"/>
      <c r="AU7" s="636"/>
      <c r="AV7" s="636"/>
      <c r="AW7" s="636"/>
      <c r="AX7" s="636"/>
      <c r="AY7" s="636"/>
      <c r="AZ7" s="636"/>
      <c r="BA7" s="636"/>
      <c r="BB7" s="636"/>
      <c r="BC7" s="636"/>
      <c r="BD7" s="636"/>
      <c r="BE7" s="636"/>
      <c r="BF7" s="636"/>
      <c r="BG7" s="636"/>
      <c r="BH7" s="636"/>
      <c r="BI7" s="636"/>
      <c r="BJ7" s="636"/>
      <c r="BK7" s="636"/>
      <c r="BL7" s="636"/>
      <c r="BM7" s="636"/>
      <c r="BN7" s="636"/>
      <c r="BO7" s="636"/>
      <c r="BP7" s="636"/>
      <c r="BQ7" s="636"/>
      <c r="BR7" s="637"/>
    </row>
    <row r="8" spans="2:70" ht="6" customHeight="1">
      <c r="B8" s="635"/>
      <c r="C8" s="636"/>
      <c r="D8" s="636"/>
      <c r="E8" s="636"/>
      <c r="F8" s="636"/>
      <c r="G8" s="636"/>
      <c r="H8" s="636"/>
      <c r="I8" s="636"/>
      <c r="J8" s="636"/>
      <c r="K8" s="636"/>
      <c r="L8" s="636"/>
      <c r="M8" s="636"/>
      <c r="N8" s="636"/>
      <c r="O8" s="636"/>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6"/>
      <c r="AO8" s="636"/>
      <c r="AP8" s="636"/>
      <c r="AQ8" s="636"/>
      <c r="AR8" s="636"/>
      <c r="AS8" s="636"/>
      <c r="AT8" s="636"/>
      <c r="AU8" s="636"/>
      <c r="AV8" s="636"/>
      <c r="AW8" s="636"/>
      <c r="AX8" s="636"/>
      <c r="AY8" s="636"/>
      <c r="AZ8" s="636"/>
      <c r="BA8" s="636"/>
      <c r="BB8" s="636"/>
      <c r="BC8" s="636"/>
      <c r="BD8" s="636"/>
      <c r="BE8" s="636"/>
      <c r="BF8" s="636"/>
      <c r="BG8" s="636"/>
      <c r="BH8" s="636"/>
      <c r="BI8" s="636"/>
      <c r="BJ8" s="636"/>
      <c r="BK8" s="636"/>
      <c r="BL8" s="636"/>
      <c r="BM8" s="636"/>
      <c r="BN8" s="636"/>
      <c r="BO8" s="636"/>
      <c r="BP8" s="636"/>
      <c r="BQ8" s="636"/>
      <c r="BR8" s="637"/>
    </row>
    <row r="9" spans="2:70" ht="6" customHeight="1">
      <c r="B9" s="635"/>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6"/>
      <c r="AY9" s="636"/>
      <c r="AZ9" s="636"/>
      <c r="BA9" s="636"/>
      <c r="BB9" s="636"/>
      <c r="BC9" s="636"/>
      <c r="BD9" s="636"/>
      <c r="BE9" s="636"/>
      <c r="BF9" s="636"/>
      <c r="BG9" s="636"/>
      <c r="BH9" s="636"/>
      <c r="BI9" s="636"/>
      <c r="BJ9" s="636"/>
      <c r="BK9" s="636"/>
      <c r="BL9" s="636"/>
      <c r="BM9" s="636"/>
      <c r="BN9" s="636"/>
      <c r="BO9" s="636"/>
      <c r="BP9" s="636"/>
      <c r="BQ9" s="636"/>
      <c r="BR9" s="637"/>
    </row>
    <row r="10" spans="2:70" ht="6" customHeight="1">
      <c r="B10" s="635"/>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636"/>
      <c r="AS10" s="636"/>
      <c r="AT10" s="636"/>
      <c r="AU10" s="636"/>
      <c r="AV10" s="636"/>
      <c r="AW10" s="636"/>
      <c r="AX10" s="636"/>
      <c r="AY10" s="636"/>
      <c r="AZ10" s="636"/>
      <c r="BA10" s="636"/>
      <c r="BB10" s="636"/>
      <c r="BC10" s="636"/>
      <c r="BD10" s="636"/>
      <c r="BE10" s="636"/>
      <c r="BF10" s="636"/>
      <c r="BG10" s="636"/>
      <c r="BH10" s="636"/>
      <c r="BI10" s="636"/>
      <c r="BJ10" s="636"/>
      <c r="BK10" s="636"/>
      <c r="BL10" s="636"/>
      <c r="BM10" s="636"/>
      <c r="BN10" s="636"/>
      <c r="BO10" s="636"/>
      <c r="BP10" s="636"/>
      <c r="BQ10" s="636"/>
      <c r="BR10" s="637"/>
    </row>
    <row r="11" spans="2:70" ht="6" customHeight="1">
      <c r="B11" s="635"/>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6"/>
      <c r="AT11" s="636"/>
      <c r="AU11" s="636"/>
      <c r="AV11" s="636"/>
      <c r="AW11" s="636"/>
      <c r="AX11" s="636"/>
      <c r="AY11" s="636"/>
      <c r="AZ11" s="636"/>
      <c r="BA11" s="636"/>
      <c r="BB11" s="636"/>
      <c r="BC11" s="636"/>
      <c r="BD11" s="636"/>
      <c r="BE11" s="636"/>
      <c r="BF11" s="636"/>
      <c r="BG11" s="636"/>
      <c r="BH11" s="636"/>
      <c r="BI11" s="636"/>
      <c r="BJ11" s="636"/>
      <c r="BK11" s="636"/>
      <c r="BL11" s="636"/>
      <c r="BM11" s="636"/>
      <c r="BN11" s="636"/>
      <c r="BO11" s="636"/>
      <c r="BP11" s="636"/>
      <c r="BQ11" s="636"/>
      <c r="BR11" s="637"/>
    </row>
    <row r="12" spans="2:70" ht="6" customHeight="1">
      <c r="B12" s="635"/>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6"/>
      <c r="AS12" s="636"/>
      <c r="AT12" s="636"/>
      <c r="AU12" s="636"/>
      <c r="AV12" s="636"/>
      <c r="AW12" s="636"/>
      <c r="AX12" s="636"/>
      <c r="AY12" s="636"/>
      <c r="AZ12" s="636"/>
      <c r="BA12" s="636"/>
      <c r="BB12" s="636"/>
      <c r="BC12" s="636"/>
      <c r="BD12" s="636"/>
      <c r="BE12" s="636"/>
      <c r="BF12" s="636"/>
      <c r="BG12" s="636"/>
      <c r="BH12" s="636"/>
      <c r="BI12" s="636"/>
      <c r="BJ12" s="636"/>
      <c r="BK12" s="636"/>
      <c r="BL12" s="636"/>
      <c r="BM12" s="636"/>
      <c r="BN12" s="636"/>
      <c r="BO12" s="636"/>
      <c r="BP12" s="636"/>
      <c r="BQ12" s="636"/>
      <c r="BR12" s="637"/>
    </row>
    <row r="13" spans="2:70" ht="6" customHeight="1">
      <c r="B13" s="348"/>
      <c r="BR13" s="345"/>
    </row>
    <row r="14" spans="2:70" ht="6" customHeight="1">
      <c r="B14" s="348"/>
      <c r="BR14" s="345"/>
    </row>
    <row r="15" spans="2:70" ht="6" customHeight="1">
      <c r="B15" s="344"/>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c r="BN15" s="341"/>
      <c r="BO15" s="341"/>
      <c r="BP15" s="341"/>
      <c r="BQ15" s="341"/>
      <c r="BR15" s="340"/>
    </row>
    <row r="16" spans="2:70" ht="6" customHeight="1">
      <c r="B16" s="615" t="s">
        <v>3007</v>
      </c>
      <c r="C16" s="616"/>
      <c r="D16" s="360"/>
      <c r="E16" s="638" t="s">
        <v>3006</v>
      </c>
      <c r="F16" s="638"/>
      <c r="G16" s="638"/>
      <c r="H16" s="638"/>
      <c r="I16" s="638"/>
      <c r="J16" s="638"/>
      <c r="K16" s="638"/>
      <c r="L16" s="638"/>
      <c r="M16" s="638"/>
      <c r="N16" s="638"/>
      <c r="O16" s="638"/>
      <c r="P16" s="638"/>
      <c r="Q16" s="638"/>
      <c r="R16" s="638"/>
      <c r="S16" s="345"/>
      <c r="Z16" s="610"/>
      <c r="AA16" s="610"/>
      <c r="AB16" s="610"/>
      <c r="AC16" s="610"/>
      <c r="AD16" s="610"/>
      <c r="AE16" s="610"/>
      <c r="AF16" s="610"/>
      <c r="AG16" s="640" t="s">
        <v>464</v>
      </c>
      <c r="AH16" s="640"/>
      <c r="AI16" s="640"/>
      <c r="AK16" s="610"/>
      <c r="AL16" s="610"/>
      <c r="AM16" s="610"/>
      <c r="AN16" s="610"/>
      <c r="AO16" s="610"/>
      <c r="AP16" s="640" t="s">
        <v>1</v>
      </c>
      <c r="AQ16" s="640"/>
      <c r="AR16" s="640"/>
      <c r="AT16" s="610"/>
      <c r="AU16" s="610"/>
      <c r="AV16" s="610"/>
      <c r="AW16" s="610"/>
      <c r="AX16" s="610"/>
      <c r="AY16" s="640" t="s">
        <v>465</v>
      </c>
      <c r="AZ16" s="640"/>
      <c r="BA16" s="640"/>
      <c r="BR16" s="345"/>
    </row>
    <row r="17" spans="2:70" ht="6" customHeight="1">
      <c r="B17" s="615"/>
      <c r="C17" s="616"/>
      <c r="D17" s="360"/>
      <c r="E17" s="638"/>
      <c r="F17" s="638"/>
      <c r="G17" s="638"/>
      <c r="H17" s="638"/>
      <c r="I17" s="638"/>
      <c r="J17" s="638"/>
      <c r="K17" s="638"/>
      <c r="L17" s="638"/>
      <c r="M17" s="638"/>
      <c r="N17" s="638"/>
      <c r="O17" s="638"/>
      <c r="P17" s="638"/>
      <c r="Q17" s="638"/>
      <c r="R17" s="638"/>
      <c r="S17" s="345"/>
      <c r="Z17" s="611"/>
      <c r="AA17" s="611"/>
      <c r="AB17" s="611"/>
      <c r="AC17" s="611"/>
      <c r="AD17" s="611"/>
      <c r="AE17" s="611"/>
      <c r="AF17" s="611"/>
      <c r="AG17" s="640"/>
      <c r="AH17" s="640"/>
      <c r="AI17" s="640"/>
      <c r="AK17" s="611"/>
      <c r="AL17" s="611"/>
      <c r="AM17" s="611"/>
      <c r="AN17" s="611"/>
      <c r="AO17" s="611"/>
      <c r="AP17" s="640"/>
      <c r="AQ17" s="640"/>
      <c r="AR17" s="640"/>
      <c r="AT17" s="611"/>
      <c r="AU17" s="611"/>
      <c r="AV17" s="611"/>
      <c r="AW17" s="611"/>
      <c r="AX17" s="611"/>
      <c r="AY17" s="640"/>
      <c r="AZ17" s="640"/>
      <c r="BA17" s="640"/>
      <c r="BR17" s="345"/>
    </row>
    <row r="18" spans="2:70" ht="6" customHeight="1">
      <c r="B18" s="617"/>
      <c r="C18" s="618"/>
      <c r="D18" s="375"/>
      <c r="E18" s="639"/>
      <c r="F18" s="639"/>
      <c r="G18" s="639"/>
      <c r="H18" s="639"/>
      <c r="I18" s="639"/>
      <c r="J18" s="639"/>
      <c r="K18" s="639"/>
      <c r="L18" s="639"/>
      <c r="M18" s="639"/>
      <c r="N18" s="639"/>
      <c r="O18" s="639"/>
      <c r="P18" s="639"/>
      <c r="Q18" s="639"/>
      <c r="R18" s="639"/>
      <c r="S18" s="340"/>
      <c r="T18" s="341"/>
      <c r="U18" s="341"/>
      <c r="V18" s="341"/>
      <c r="W18" s="341"/>
      <c r="X18" s="341"/>
      <c r="Y18" s="341"/>
      <c r="Z18" s="612"/>
      <c r="AA18" s="612"/>
      <c r="AB18" s="612"/>
      <c r="AC18" s="612"/>
      <c r="AD18" s="612"/>
      <c r="AE18" s="612"/>
      <c r="AF18" s="612"/>
      <c r="AG18" s="641"/>
      <c r="AH18" s="641"/>
      <c r="AI18" s="641"/>
      <c r="AJ18" s="341"/>
      <c r="AK18" s="612"/>
      <c r="AL18" s="612"/>
      <c r="AM18" s="612"/>
      <c r="AN18" s="612"/>
      <c r="AO18" s="612"/>
      <c r="AP18" s="641"/>
      <c r="AQ18" s="641"/>
      <c r="AR18" s="641"/>
      <c r="AS18" s="341"/>
      <c r="AT18" s="612"/>
      <c r="AU18" s="612"/>
      <c r="AV18" s="612"/>
      <c r="AW18" s="612"/>
      <c r="AX18" s="612"/>
      <c r="AY18" s="641"/>
      <c r="AZ18" s="641"/>
      <c r="BA18" s="641"/>
      <c r="BB18" s="341"/>
      <c r="BC18" s="341"/>
      <c r="BD18" s="341"/>
      <c r="BE18" s="341"/>
      <c r="BF18" s="341"/>
      <c r="BG18" s="341"/>
      <c r="BH18" s="341"/>
      <c r="BI18" s="341"/>
      <c r="BJ18" s="341"/>
      <c r="BK18" s="341"/>
      <c r="BL18" s="341"/>
      <c r="BM18" s="341"/>
      <c r="BN18" s="341"/>
      <c r="BO18" s="341"/>
      <c r="BP18" s="341"/>
      <c r="BQ18" s="341"/>
      <c r="BR18" s="340"/>
    </row>
    <row r="19" spans="2:70" ht="6" customHeight="1">
      <c r="B19" s="348"/>
      <c r="C19" s="339"/>
      <c r="D19" s="339"/>
      <c r="E19" s="339"/>
      <c r="F19" s="339"/>
      <c r="G19" s="339"/>
      <c r="H19" s="339"/>
      <c r="I19" s="339"/>
      <c r="J19" s="339"/>
      <c r="K19" s="339"/>
      <c r="L19" s="339"/>
      <c r="M19" s="339"/>
      <c r="N19" s="339"/>
      <c r="O19" s="339"/>
      <c r="P19" s="339"/>
      <c r="Q19" s="339"/>
      <c r="R19" s="339"/>
      <c r="S19" s="345"/>
      <c r="BR19" s="345"/>
    </row>
    <row r="20" spans="2:70" ht="6" customHeight="1">
      <c r="B20" s="348"/>
      <c r="C20" s="339"/>
      <c r="D20" s="339"/>
      <c r="E20" s="339"/>
      <c r="F20" s="339"/>
      <c r="G20" s="339"/>
      <c r="H20" s="339"/>
      <c r="I20" s="339"/>
      <c r="J20" s="339"/>
      <c r="K20" s="339"/>
      <c r="L20" s="339"/>
      <c r="M20" s="339"/>
      <c r="N20" s="339"/>
      <c r="O20" s="339"/>
      <c r="P20" s="339"/>
      <c r="Q20" s="339"/>
      <c r="R20" s="339"/>
      <c r="S20" s="345"/>
      <c r="U20" s="644" t="str">
        <f>cst_wskakunin_owner1__address</f>
        <v>静岡県静岡市葵区新伝馬二丁目8-41-101</v>
      </c>
      <c r="V20" s="644"/>
      <c r="W20" s="644"/>
      <c r="X20" s="644"/>
      <c r="Y20" s="644"/>
      <c r="Z20" s="644"/>
      <c r="AA20" s="644"/>
      <c r="AB20" s="644"/>
      <c r="AC20" s="644"/>
      <c r="AD20" s="644"/>
      <c r="AE20" s="644"/>
      <c r="AF20" s="644"/>
      <c r="AG20" s="644"/>
      <c r="AH20" s="644"/>
      <c r="AI20" s="644"/>
      <c r="AJ20" s="644"/>
      <c r="AK20" s="644"/>
      <c r="AL20" s="644"/>
      <c r="AM20" s="644"/>
      <c r="AN20" s="644"/>
      <c r="AO20" s="644"/>
      <c r="AP20" s="644"/>
      <c r="AQ20" s="644"/>
      <c r="AR20" s="644"/>
      <c r="AS20" s="644"/>
      <c r="AT20" s="644"/>
      <c r="AU20" s="644"/>
      <c r="AV20" s="644"/>
      <c r="AW20" s="644"/>
      <c r="AX20" s="644"/>
      <c r="AY20" s="644"/>
      <c r="AZ20" s="644"/>
      <c r="BA20" s="644"/>
      <c r="BB20" s="644"/>
      <c r="BC20" s="644"/>
      <c r="BD20" s="644"/>
      <c r="BE20" s="644"/>
      <c r="BF20" s="644"/>
      <c r="BG20" s="644"/>
      <c r="BH20" s="644"/>
      <c r="BI20" s="644"/>
      <c r="BJ20" s="644"/>
      <c r="BK20" s="644"/>
      <c r="BL20" s="644"/>
      <c r="BM20" s="644"/>
      <c r="BN20" s="644"/>
      <c r="BO20" s="644"/>
      <c r="BP20" s="644"/>
      <c r="BQ20" s="644"/>
      <c r="BR20" s="345"/>
    </row>
    <row r="21" spans="2:70" ht="6" customHeight="1">
      <c r="B21" s="645">
        <v>1</v>
      </c>
      <c r="C21" s="640"/>
      <c r="D21" s="360"/>
      <c r="E21" s="643" t="s">
        <v>3005</v>
      </c>
      <c r="F21" s="643"/>
      <c r="G21" s="643"/>
      <c r="H21" s="643"/>
      <c r="I21" s="643"/>
      <c r="J21" s="643"/>
      <c r="K21" s="643"/>
      <c r="L21" s="643"/>
      <c r="M21" s="643"/>
      <c r="N21" s="643"/>
      <c r="O21" s="643"/>
      <c r="P21" s="643"/>
      <c r="Q21" s="643"/>
      <c r="R21" s="643"/>
      <c r="S21" s="646"/>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c r="AQ21" s="644"/>
      <c r="AR21" s="644"/>
      <c r="AS21" s="644"/>
      <c r="AT21" s="644"/>
      <c r="AU21" s="644"/>
      <c r="AV21" s="644"/>
      <c r="AW21" s="644"/>
      <c r="AX21" s="644"/>
      <c r="AY21" s="644"/>
      <c r="AZ21" s="644"/>
      <c r="BA21" s="644"/>
      <c r="BB21" s="644"/>
      <c r="BC21" s="644"/>
      <c r="BD21" s="644"/>
      <c r="BE21" s="644"/>
      <c r="BF21" s="644"/>
      <c r="BG21" s="644"/>
      <c r="BH21" s="644"/>
      <c r="BI21" s="644"/>
      <c r="BJ21" s="644"/>
      <c r="BK21" s="644"/>
      <c r="BL21" s="644"/>
      <c r="BM21" s="644"/>
      <c r="BN21" s="644"/>
      <c r="BO21" s="644"/>
      <c r="BP21" s="644"/>
      <c r="BQ21" s="644"/>
      <c r="BR21" s="345"/>
    </row>
    <row r="22" spans="2:70" ht="6" customHeight="1">
      <c r="B22" s="645"/>
      <c r="C22" s="640"/>
      <c r="D22" s="360"/>
      <c r="E22" s="643"/>
      <c r="F22" s="643"/>
      <c r="G22" s="643"/>
      <c r="H22" s="643"/>
      <c r="I22" s="643"/>
      <c r="J22" s="643"/>
      <c r="K22" s="643"/>
      <c r="L22" s="643"/>
      <c r="M22" s="643"/>
      <c r="N22" s="643"/>
      <c r="O22" s="643"/>
      <c r="P22" s="643"/>
      <c r="Q22" s="643"/>
      <c r="R22" s="643"/>
      <c r="S22" s="646"/>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c r="AQ22" s="644"/>
      <c r="AR22" s="644"/>
      <c r="AS22" s="644"/>
      <c r="AT22" s="644"/>
      <c r="AU22" s="644"/>
      <c r="AV22" s="644"/>
      <c r="AW22" s="644"/>
      <c r="AX22" s="644"/>
      <c r="AY22" s="644"/>
      <c r="AZ22" s="644"/>
      <c r="BA22" s="644"/>
      <c r="BB22" s="644"/>
      <c r="BC22" s="644"/>
      <c r="BD22" s="644"/>
      <c r="BE22" s="644"/>
      <c r="BF22" s="644"/>
      <c r="BG22" s="644"/>
      <c r="BH22" s="644"/>
      <c r="BI22" s="644"/>
      <c r="BJ22" s="644"/>
      <c r="BK22" s="644"/>
      <c r="BL22" s="644"/>
      <c r="BM22" s="644"/>
      <c r="BN22" s="644"/>
      <c r="BO22" s="644"/>
      <c r="BP22" s="644"/>
      <c r="BQ22" s="644"/>
      <c r="BR22" s="345"/>
    </row>
    <row r="23" spans="2:70" ht="6" customHeight="1">
      <c r="B23" s="645"/>
      <c r="C23" s="640"/>
      <c r="D23" s="360"/>
      <c r="E23" s="643"/>
      <c r="F23" s="643"/>
      <c r="G23" s="643"/>
      <c r="H23" s="643"/>
      <c r="I23" s="643"/>
      <c r="J23" s="643"/>
      <c r="K23" s="643"/>
      <c r="L23" s="643"/>
      <c r="M23" s="643"/>
      <c r="N23" s="643"/>
      <c r="O23" s="643"/>
      <c r="P23" s="643"/>
      <c r="Q23" s="643"/>
      <c r="R23" s="643"/>
      <c r="S23" s="646"/>
      <c r="BR23" s="345"/>
    </row>
    <row r="24" spans="2:70" ht="6" customHeight="1">
      <c r="B24" s="645"/>
      <c r="C24" s="640"/>
      <c r="D24" s="360"/>
      <c r="E24" s="643"/>
      <c r="F24" s="643"/>
      <c r="G24" s="643"/>
      <c r="H24" s="643"/>
      <c r="I24" s="643"/>
      <c r="J24" s="643"/>
      <c r="K24" s="643"/>
      <c r="L24" s="643"/>
      <c r="M24" s="643"/>
      <c r="N24" s="643"/>
      <c r="O24" s="643"/>
      <c r="P24" s="643"/>
      <c r="Q24" s="643"/>
      <c r="R24" s="643"/>
      <c r="S24" s="646"/>
      <c r="U24" s="644" t="str">
        <f>cst_wskakunin_owner1__space</f>
        <v>菅野　幸子</v>
      </c>
      <c r="V24" s="644"/>
      <c r="W24" s="644"/>
      <c r="X24" s="644"/>
      <c r="Y24" s="644"/>
      <c r="Z24" s="644"/>
      <c r="AA24" s="644"/>
      <c r="AB24" s="644"/>
      <c r="AC24" s="644"/>
      <c r="AD24" s="644"/>
      <c r="AE24" s="644"/>
      <c r="AF24" s="644"/>
      <c r="AG24" s="644"/>
      <c r="AH24" s="644"/>
      <c r="AI24" s="644"/>
      <c r="AJ24" s="644"/>
      <c r="AK24" s="644"/>
      <c r="AL24" s="644"/>
      <c r="AM24" s="644"/>
      <c r="AN24" s="644"/>
      <c r="AO24" s="644"/>
      <c r="AP24" s="644"/>
      <c r="AQ24" s="644"/>
      <c r="AR24" s="644"/>
      <c r="AS24" s="644"/>
      <c r="AT24" s="644"/>
      <c r="AU24" s="644"/>
      <c r="AV24" s="644"/>
      <c r="AW24" s="644"/>
      <c r="AX24" s="644"/>
      <c r="AY24" s="644"/>
      <c r="AZ24" s="644"/>
      <c r="BA24" s="644"/>
      <c r="BB24" s="644"/>
      <c r="BC24" s="644"/>
      <c r="BD24" s="644"/>
      <c r="BE24" s="644"/>
      <c r="BF24" s="644"/>
      <c r="BG24" s="644"/>
      <c r="BH24" s="644"/>
      <c r="BI24" s="644"/>
      <c r="BJ24" s="644"/>
      <c r="BK24" s="644"/>
      <c r="BL24" s="644"/>
      <c r="BM24" s="644"/>
      <c r="BN24" s="644"/>
      <c r="BO24" s="644"/>
      <c r="BP24" s="644"/>
      <c r="BQ24" s="644"/>
      <c r="BR24" s="345"/>
    </row>
    <row r="25" spans="2:70" ht="6" customHeight="1">
      <c r="B25" s="645"/>
      <c r="C25" s="640"/>
      <c r="D25" s="360"/>
      <c r="E25" s="643"/>
      <c r="F25" s="643"/>
      <c r="G25" s="643"/>
      <c r="H25" s="643"/>
      <c r="I25" s="643"/>
      <c r="J25" s="643"/>
      <c r="K25" s="643"/>
      <c r="L25" s="643"/>
      <c r="M25" s="643"/>
      <c r="N25" s="643"/>
      <c r="O25" s="643"/>
      <c r="P25" s="643"/>
      <c r="Q25" s="643"/>
      <c r="R25" s="643"/>
      <c r="S25" s="646"/>
      <c r="T25" s="347"/>
      <c r="U25" s="644"/>
      <c r="V25" s="644"/>
      <c r="W25" s="644"/>
      <c r="X25" s="644"/>
      <c r="Y25" s="644"/>
      <c r="Z25" s="644"/>
      <c r="AA25" s="644"/>
      <c r="AB25" s="644"/>
      <c r="AC25" s="644"/>
      <c r="AD25" s="644"/>
      <c r="AE25" s="644"/>
      <c r="AF25" s="644"/>
      <c r="AG25" s="644"/>
      <c r="AH25" s="644"/>
      <c r="AI25" s="644"/>
      <c r="AJ25" s="644"/>
      <c r="AK25" s="644"/>
      <c r="AL25" s="644"/>
      <c r="AM25" s="644"/>
      <c r="AN25" s="644"/>
      <c r="AO25" s="644"/>
      <c r="AP25" s="644"/>
      <c r="AQ25" s="644"/>
      <c r="AR25" s="644"/>
      <c r="AS25" s="644"/>
      <c r="AT25" s="644"/>
      <c r="AU25" s="644"/>
      <c r="AV25" s="644"/>
      <c r="AW25" s="644"/>
      <c r="AX25" s="644"/>
      <c r="AY25" s="644"/>
      <c r="AZ25" s="644"/>
      <c r="BA25" s="644"/>
      <c r="BB25" s="644"/>
      <c r="BC25" s="644"/>
      <c r="BD25" s="644"/>
      <c r="BE25" s="644"/>
      <c r="BF25" s="644"/>
      <c r="BG25" s="644"/>
      <c r="BH25" s="644"/>
      <c r="BI25" s="644"/>
      <c r="BJ25" s="644"/>
      <c r="BK25" s="644"/>
      <c r="BL25" s="644"/>
      <c r="BM25" s="644"/>
      <c r="BN25" s="644"/>
      <c r="BO25" s="644"/>
      <c r="BP25" s="644"/>
      <c r="BQ25" s="644"/>
      <c r="BR25" s="345"/>
    </row>
    <row r="26" spans="2:70" ht="6" customHeight="1">
      <c r="B26" s="645"/>
      <c r="C26" s="640"/>
      <c r="D26" s="360"/>
      <c r="E26" s="643"/>
      <c r="F26" s="643"/>
      <c r="G26" s="643"/>
      <c r="H26" s="643"/>
      <c r="I26" s="643"/>
      <c r="J26" s="643"/>
      <c r="K26" s="643"/>
      <c r="L26" s="643"/>
      <c r="M26" s="643"/>
      <c r="N26" s="643"/>
      <c r="O26" s="643"/>
      <c r="P26" s="643"/>
      <c r="Q26" s="643"/>
      <c r="R26" s="643"/>
      <c r="S26" s="646"/>
      <c r="T26" s="347"/>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4"/>
      <c r="AS26" s="644"/>
      <c r="AT26" s="644"/>
      <c r="AU26" s="644"/>
      <c r="AV26" s="644"/>
      <c r="AW26" s="644"/>
      <c r="AX26" s="644"/>
      <c r="AY26" s="644"/>
      <c r="AZ26" s="644"/>
      <c r="BA26" s="644"/>
      <c r="BB26" s="644"/>
      <c r="BC26" s="644"/>
      <c r="BD26" s="644"/>
      <c r="BE26" s="644"/>
      <c r="BF26" s="644"/>
      <c r="BG26" s="644"/>
      <c r="BH26" s="644"/>
      <c r="BI26" s="644"/>
      <c r="BJ26" s="644"/>
      <c r="BK26" s="644"/>
      <c r="BL26" s="644"/>
      <c r="BM26" s="644"/>
      <c r="BN26" s="644"/>
      <c r="BO26" s="644"/>
      <c r="BP26" s="644"/>
      <c r="BQ26" s="644"/>
      <c r="BR26" s="345"/>
    </row>
    <row r="27" spans="2:70" ht="6" customHeight="1">
      <c r="B27" s="344"/>
      <c r="C27" s="341"/>
      <c r="D27" s="341"/>
      <c r="E27" s="341"/>
      <c r="F27" s="341"/>
      <c r="G27" s="341"/>
      <c r="H27" s="341"/>
      <c r="I27" s="341"/>
      <c r="J27" s="341"/>
      <c r="K27" s="341"/>
      <c r="L27" s="341"/>
      <c r="M27" s="341"/>
      <c r="N27" s="341"/>
      <c r="O27" s="341"/>
      <c r="P27" s="341"/>
      <c r="Q27" s="341"/>
      <c r="R27" s="341"/>
      <c r="S27" s="340"/>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0"/>
    </row>
    <row r="28" spans="2:70" ht="6" customHeight="1">
      <c r="B28" s="348"/>
      <c r="S28" s="345"/>
      <c r="BR28" s="345"/>
    </row>
    <row r="29" spans="2:70" ht="6" customHeight="1">
      <c r="B29" s="348"/>
      <c r="E29" s="647" t="s">
        <v>3004</v>
      </c>
      <c r="F29" s="647"/>
      <c r="G29" s="647"/>
      <c r="H29" s="647"/>
      <c r="I29" s="647"/>
      <c r="J29" s="647"/>
      <c r="K29" s="647"/>
      <c r="L29" s="647"/>
      <c r="M29" s="647"/>
      <c r="N29" s="647"/>
      <c r="O29" s="647"/>
      <c r="P29" s="647"/>
      <c r="Q29" s="647"/>
      <c r="R29" s="647"/>
      <c r="S29" s="648"/>
      <c r="U29" s="649"/>
      <c r="V29" s="649"/>
      <c r="W29" s="649"/>
      <c r="X29" s="649"/>
      <c r="Y29" s="649"/>
      <c r="Z29" s="649"/>
      <c r="AA29" s="649"/>
      <c r="AB29" s="649"/>
      <c r="AC29" s="649"/>
      <c r="AD29" s="649"/>
      <c r="AE29" s="649"/>
      <c r="AF29" s="649"/>
      <c r="AG29" s="649"/>
      <c r="AH29" s="649"/>
      <c r="AI29" s="649"/>
      <c r="AJ29" s="649"/>
      <c r="AK29" s="649"/>
      <c r="AL29" s="649"/>
      <c r="AM29" s="649"/>
      <c r="AN29" s="649"/>
      <c r="AO29" s="649"/>
      <c r="AP29" s="649"/>
      <c r="AQ29" s="649"/>
      <c r="AR29" s="649"/>
      <c r="AS29" s="649"/>
      <c r="AT29" s="649"/>
      <c r="AU29" s="649"/>
      <c r="AV29" s="649"/>
      <c r="AW29" s="649"/>
      <c r="AX29" s="649"/>
      <c r="AY29" s="649"/>
      <c r="AZ29" s="649"/>
      <c r="BA29" s="649"/>
      <c r="BB29" s="649"/>
      <c r="BC29" s="649"/>
      <c r="BD29" s="649"/>
      <c r="BE29" s="649"/>
      <c r="BF29" s="649"/>
      <c r="BG29" s="649"/>
      <c r="BH29" s="649"/>
      <c r="BI29" s="649"/>
      <c r="BJ29" s="649"/>
      <c r="BK29" s="649"/>
      <c r="BL29" s="649"/>
      <c r="BM29" s="649"/>
      <c r="BN29" s="649"/>
      <c r="BO29" s="649"/>
      <c r="BP29" s="649"/>
      <c r="BQ29" s="649"/>
      <c r="BR29" s="345"/>
    </row>
    <row r="30" spans="2:70" ht="6" customHeight="1">
      <c r="B30" s="348"/>
      <c r="E30" s="647"/>
      <c r="F30" s="647"/>
      <c r="G30" s="647"/>
      <c r="H30" s="647"/>
      <c r="I30" s="647"/>
      <c r="J30" s="647"/>
      <c r="K30" s="647"/>
      <c r="L30" s="647"/>
      <c r="M30" s="647"/>
      <c r="N30" s="647"/>
      <c r="O30" s="647"/>
      <c r="P30" s="647"/>
      <c r="Q30" s="647"/>
      <c r="R30" s="647"/>
      <c r="S30" s="648"/>
      <c r="U30" s="649"/>
      <c r="V30" s="649"/>
      <c r="W30" s="649"/>
      <c r="X30" s="649"/>
      <c r="Y30" s="649"/>
      <c r="Z30" s="649"/>
      <c r="AA30" s="649"/>
      <c r="AB30" s="649"/>
      <c r="AC30" s="649"/>
      <c r="AD30" s="649"/>
      <c r="AE30" s="649"/>
      <c r="AF30" s="649"/>
      <c r="AG30" s="649"/>
      <c r="AH30" s="649"/>
      <c r="AI30" s="649"/>
      <c r="AJ30" s="649"/>
      <c r="AK30" s="649"/>
      <c r="AL30" s="649"/>
      <c r="AM30" s="649"/>
      <c r="AN30" s="649"/>
      <c r="AO30" s="649"/>
      <c r="AP30" s="649"/>
      <c r="AQ30" s="649"/>
      <c r="AR30" s="649"/>
      <c r="AS30" s="649"/>
      <c r="AT30" s="649"/>
      <c r="AU30" s="649"/>
      <c r="AV30" s="649"/>
      <c r="AW30" s="649"/>
      <c r="AX30" s="649"/>
      <c r="AY30" s="649"/>
      <c r="AZ30" s="649"/>
      <c r="BA30" s="649"/>
      <c r="BB30" s="649"/>
      <c r="BC30" s="649"/>
      <c r="BD30" s="649"/>
      <c r="BE30" s="649"/>
      <c r="BF30" s="649"/>
      <c r="BG30" s="649"/>
      <c r="BH30" s="649"/>
      <c r="BI30" s="649"/>
      <c r="BJ30" s="649"/>
      <c r="BK30" s="649"/>
      <c r="BL30" s="649"/>
      <c r="BM30" s="649"/>
      <c r="BN30" s="649"/>
      <c r="BO30" s="649"/>
      <c r="BP30" s="649"/>
      <c r="BQ30" s="649"/>
      <c r="BR30" s="345"/>
    </row>
    <row r="31" spans="2:70" ht="6" customHeight="1">
      <c r="B31" s="645">
        <v>2</v>
      </c>
      <c r="C31" s="640"/>
      <c r="E31" s="647"/>
      <c r="F31" s="647"/>
      <c r="G31" s="647"/>
      <c r="H31" s="647"/>
      <c r="I31" s="647"/>
      <c r="J31" s="647"/>
      <c r="K31" s="647"/>
      <c r="L31" s="647"/>
      <c r="M31" s="647"/>
      <c r="N31" s="647"/>
      <c r="O31" s="647"/>
      <c r="P31" s="647"/>
      <c r="Q31" s="647"/>
      <c r="R31" s="647"/>
      <c r="S31" s="648"/>
      <c r="U31" s="649"/>
      <c r="V31" s="649"/>
      <c r="W31" s="649"/>
      <c r="X31" s="649"/>
      <c r="Y31" s="649"/>
      <c r="Z31" s="649"/>
      <c r="AA31" s="649"/>
      <c r="AB31" s="649"/>
      <c r="AC31" s="649"/>
      <c r="AD31" s="649"/>
      <c r="AE31" s="649"/>
      <c r="AF31" s="649"/>
      <c r="AG31" s="649"/>
      <c r="AH31" s="649"/>
      <c r="AI31" s="649"/>
      <c r="AJ31" s="649"/>
      <c r="AK31" s="649"/>
      <c r="AL31" s="649"/>
      <c r="AM31" s="649"/>
      <c r="AN31" s="649"/>
      <c r="AO31" s="649"/>
      <c r="AP31" s="649"/>
      <c r="AQ31" s="649"/>
      <c r="AR31" s="649"/>
      <c r="AS31" s="649"/>
      <c r="AT31" s="649"/>
      <c r="AU31" s="649"/>
      <c r="AV31" s="649"/>
      <c r="AW31" s="649"/>
      <c r="AX31" s="649"/>
      <c r="AY31" s="649"/>
      <c r="AZ31" s="649"/>
      <c r="BA31" s="649"/>
      <c r="BB31" s="649"/>
      <c r="BC31" s="649"/>
      <c r="BD31" s="649"/>
      <c r="BE31" s="649"/>
      <c r="BF31" s="649"/>
      <c r="BG31" s="649"/>
      <c r="BH31" s="649"/>
      <c r="BI31" s="649"/>
      <c r="BJ31" s="649"/>
      <c r="BK31" s="649"/>
      <c r="BL31" s="649"/>
      <c r="BM31" s="649"/>
      <c r="BN31" s="649"/>
      <c r="BO31" s="649"/>
      <c r="BP31" s="649"/>
      <c r="BQ31" s="649"/>
      <c r="BR31" s="345"/>
    </row>
    <row r="32" spans="2:70" ht="6" customHeight="1">
      <c r="B32" s="645"/>
      <c r="C32" s="640"/>
      <c r="E32" s="368"/>
      <c r="F32" s="368"/>
      <c r="G32" s="368"/>
      <c r="H32" s="368"/>
      <c r="I32" s="368"/>
      <c r="J32" s="368"/>
      <c r="K32" s="368"/>
      <c r="L32" s="368"/>
      <c r="M32" s="368"/>
      <c r="N32" s="368"/>
      <c r="O32" s="368"/>
      <c r="P32" s="368"/>
      <c r="Q32" s="368"/>
      <c r="R32" s="368"/>
      <c r="S32" s="374"/>
      <c r="U32" s="373"/>
      <c r="V32" s="373"/>
      <c r="W32" s="373"/>
      <c r="X32" s="373"/>
      <c r="Y32" s="373"/>
      <c r="Z32" s="373"/>
      <c r="AA32" s="373"/>
      <c r="AB32" s="373"/>
      <c r="AC32" s="373"/>
      <c r="AD32" s="373"/>
      <c r="AE32" s="373"/>
      <c r="AF32" s="373"/>
      <c r="AG32" s="373"/>
      <c r="AH32" s="373"/>
      <c r="AI32" s="373"/>
      <c r="AJ32" s="373"/>
      <c r="AK32" s="373"/>
      <c r="AL32" s="373"/>
      <c r="AM32" s="373"/>
      <c r="AN32" s="373"/>
      <c r="AS32" s="352"/>
      <c r="AT32" s="352"/>
      <c r="AU32" s="352"/>
      <c r="AV32" s="352"/>
      <c r="AW32" s="352"/>
      <c r="AX32" s="352"/>
      <c r="AY32" s="352"/>
      <c r="AZ32" s="352"/>
      <c r="BA32" s="352"/>
      <c r="BB32" s="352"/>
      <c r="BC32" s="352"/>
      <c r="BD32" s="352"/>
      <c r="BE32" s="352"/>
      <c r="BF32" s="352"/>
      <c r="BG32" s="352"/>
      <c r="BH32" s="352"/>
      <c r="BI32" s="352"/>
      <c r="BJ32" s="352"/>
      <c r="BK32" s="352"/>
      <c r="BL32" s="352"/>
      <c r="BM32" s="352"/>
      <c r="BN32" s="352"/>
      <c r="BO32" s="352"/>
      <c r="BP32" s="352"/>
      <c r="BR32" s="345"/>
    </row>
    <row r="33" spans="2:70" ht="6" customHeight="1">
      <c r="B33" s="645"/>
      <c r="C33" s="640"/>
      <c r="E33" s="650" t="s">
        <v>3003</v>
      </c>
      <c r="F33" s="650"/>
      <c r="G33" s="650"/>
      <c r="H33" s="650"/>
      <c r="I33" s="650"/>
      <c r="J33" s="650"/>
      <c r="K33" s="650"/>
      <c r="L33" s="650"/>
      <c r="M33" s="650"/>
      <c r="N33" s="650"/>
      <c r="O33" s="650"/>
      <c r="P33" s="650"/>
      <c r="Q33" s="650"/>
      <c r="R33" s="650"/>
      <c r="S33" s="651"/>
      <c r="U33" s="634"/>
      <c r="V33" s="634"/>
      <c r="W33" s="634"/>
      <c r="X33" s="634"/>
      <c r="Y33" s="634"/>
      <c r="Z33" s="634"/>
      <c r="AA33" s="634"/>
      <c r="AB33" s="634"/>
      <c r="AC33" s="634"/>
      <c r="AD33" s="634"/>
      <c r="AE33" s="634"/>
      <c r="AF33" s="634"/>
      <c r="AG33" s="634"/>
      <c r="AH33" s="634"/>
      <c r="AI33" s="634"/>
      <c r="AJ33" s="634"/>
      <c r="AK33" s="634"/>
      <c r="AL33" s="634"/>
      <c r="AM33" s="634"/>
      <c r="AN33" s="634"/>
      <c r="AO33" s="634"/>
      <c r="AP33" s="634"/>
      <c r="AQ33" s="634"/>
      <c r="AR33" s="634"/>
      <c r="AS33" s="634"/>
      <c r="AT33" s="634"/>
      <c r="AU33" s="634"/>
      <c r="AV33" s="634"/>
      <c r="AW33" s="634"/>
      <c r="AX33" s="634"/>
      <c r="AY33" s="634"/>
      <c r="AZ33" s="634"/>
      <c r="BA33" s="634"/>
      <c r="BB33" s="634"/>
      <c r="BC33" s="634"/>
      <c r="BD33" s="634"/>
      <c r="BE33" s="634"/>
      <c r="BF33" s="634"/>
      <c r="BG33" s="634"/>
      <c r="BH33" s="634"/>
      <c r="BI33" s="634"/>
      <c r="BJ33" s="634"/>
      <c r="BK33" s="634"/>
      <c r="BL33" s="634"/>
      <c r="BM33" s="634"/>
      <c r="BN33" s="634"/>
      <c r="BO33" s="634"/>
      <c r="BP33" s="634"/>
      <c r="BQ33" s="634"/>
      <c r="BR33" s="345"/>
    </row>
    <row r="34" spans="2:70" ht="6" customHeight="1">
      <c r="B34" s="645"/>
      <c r="C34" s="640"/>
      <c r="E34" s="650"/>
      <c r="F34" s="650"/>
      <c r="G34" s="650"/>
      <c r="H34" s="650"/>
      <c r="I34" s="650"/>
      <c r="J34" s="650"/>
      <c r="K34" s="650"/>
      <c r="L34" s="650"/>
      <c r="M34" s="650"/>
      <c r="N34" s="650"/>
      <c r="O34" s="650"/>
      <c r="P34" s="650"/>
      <c r="Q34" s="650"/>
      <c r="R34" s="650"/>
      <c r="S34" s="651"/>
      <c r="U34" s="634"/>
      <c r="V34" s="634"/>
      <c r="W34" s="634"/>
      <c r="X34" s="634"/>
      <c r="Y34" s="634"/>
      <c r="Z34" s="634"/>
      <c r="AA34" s="634"/>
      <c r="AB34" s="634"/>
      <c r="AC34" s="634"/>
      <c r="AD34" s="634"/>
      <c r="AE34" s="634"/>
      <c r="AF34" s="634"/>
      <c r="AG34" s="634"/>
      <c r="AH34" s="634"/>
      <c r="AI34" s="634"/>
      <c r="AJ34" s="634"/>
      <c r="AK34" s="634"/>
      <c r="AL34" s="634"/>
      <c r="AM34" s="634"/>
      <c r="AN34" s="634"/>
      <c r="AO34" s="634"/>
      <c r="AP34" s="634"/>
      <c r="AQ34" s="634"/>
      <c r="AR34" s="634"/>
      <c r="AS34" s="634"/>
      <c r="AT34" s="634"/>
      <c r="AU34" s="634"/>
      <c r="AV34" s="634"/>
      <c r="AW34" s="634"/>
      <c r="AX34" s="634"/>
      <c r="AY34" s="634"/>
      <c r="AZ34" s="634"/>
      <c r="BA34" s="634"/>
      <c r="BB34" s="634"/>
      <c r="BC34" s="634"/>
      <c r="BD34" s="634"/>
      <c r="BE34" s="634"/>
      <c r="BF34" s="634"/>
      <c r="BG34" s="634"/>
      <c r="BH34" s="634"/>
      <c r="BI34" s="634"/>
      <c r="BJ34" s="634"/>
      <c r="BK34" s="634"/>
      <c r="BL34" s="634"/>
      <c r="BM34" s="634"/>
      <c r="BN34" s="634"/>
      <c r="BO34" s="634"/>
      <c r="BP34" s="634"/>
      <c r="BQ34" s="634"/>
      <c r="BR34" s="345"/>
    </row>
    <row r="35" spans="2:70" ht="6" customHeight="1">
      <c r="B35" s="645"/>
      <c r="C35" s="640"/>
      <c r="E35" s="650"/>
      <c r="F35" s="650"/>
      <c r="G35" s="650"/>
      <c r="H35" s="650"/>
      <c r="I35" s="650"/>
      <c r="J35" s="650"/>
      <c r="K35" s="650"/>
      <c r="L35" s="650"/>
      <c r="M35" s="650"/>
      <c r="N35" s="650"/>
      <c r="O35" s="650"/>
      <c r="P35" s="650"/>
      <c r="Q35" s="650"/>
      <c r="R35" s="650"/>
      <c r="S35" s="651"/>
      <c r="U35" s="634"/>
      <c r="V35" s="634"/>
      <c r="W35" s="634"/>
      <c r="X35" s="634"/>
      <c r="Y35" s="634"/>
      <c r="Z35" s="634"/>
      <c r="AA35" s="634"/>
      <c r="AB35" s="634"/>
      <c r="AC35" s="634"/>
      <c r="AD35" s="634"/>
      <c r="AE35" s="634"/>
      <c r="AF35" s="634"/>
      <c r="AG35" s="634"/>
      <c r="AH35" s="634"/>
      <c r="AI35" s="634"/>
      <c r="AJ35" s="634"/>
      <c r="AK35" s="634"/>
      <c r="AL35" s="634"/>
      <c r="AM35" s="634"/>
      <c r="AN35" s="634"/>
      <c r="AO35" s="634"/>
      <c r="AP35" s="634"/>
      <c r="AQ35" s="634"/>
      <c r="AR35" s="634"/>
      <c r="AS35" s="634"/>
      <c r="AT35" s="634"/>
      <c r="AU35" s="634"/>
      <c r="AV35" s="634"/>
      <c r="AW35" s="634"/>
      <c r="AX35" s="634"/>
      <c r="AY35" s="634"/>
      <c r="AZ35" s="634"/>
      <c r="BA35" s="634"/>
      <c r="BB35" s="634"/>
      <c r="BC35" s="634"/>
      <c r="BD35" s="634"/>
      <c r="BE35" s="634"/>
      <c r="BF35" s="634"/>
      <c r="BG35" s="634"/>
      <c r="BH35" s="634"/>
      <c r="BI35" s="634"/>
      <c r="BJ35" s="634"/>
      <c r="BK35" s="634"/>
      <c r="BL35" s="634"/>
      <c r="BM35" s="634"/>
      <c r="BN35" s="634"/>
      <c r="BO35" s="634"/>
      <c r="BP35" s="634"/>
      <c r="BQ35" s="634"/>
      <c r="BR35" s="345"/>
    </row>
    <row r="36" spans="2:70" ht="6" customHeight="1">
      <c r="B36" s="645"/>
      <c r="C36" s="640"/>
      <c r="S36" s="345"/>
      <c r="BR36" s="345"/>
    </row>
    <row r="37" spans="2:70" ht="6" customHeight="1">
      <c r="B37" s="645"/>
      <c r="C37" s="640"/>
      <c r="S37" s="345"/>
      <c r="U37" s="630" t="s">
        <v>3002</v>
      </c>
      <c r="V37" s="630"/>
      <c r="W37" s="630"/>
      <c r="X37" s="630"/>
      <c r="Y37" s="630"/>
      <c r="Z37" s="630"/>
      <c r="AA37" s="630"/>
      <c r="AB37" s="630"/>
      <c r="AC37" s="630"/>
      <c r="AD37" s="630"/>
      <c r="AE37" s="630"/>
      <c r="AF37" s="630"/>
      <c r="AG37" s="631"/>
      <c r="AH37" s="632"/>
      <c r="AI37" s="632"/>
      <c r="AJ37" s="632"/>
      <c r="AK37" s="632"/>
      <c r="AL37" s="632"/>
      <c r="AM37" s="616" t="s">
        <v>3001</v>
      </c>
      <c r="AN37" s="616"/>
      <c r="AO37" s="616"/>
      <c r="AP37" s="616"/>
      <c r="AQ37" s="633"/>
      <c r="AR37" s="633"/>
      <c r="AS37" s="633"/>
      <c r="AT37" s="642"/>
      <c r="AU37" s="642"/>
      <c r="AV37" s="642"/>
      <c r="AW37" s="630" t="s">
        <v>51</v>
      </c>
      <c r="AX37" s="630"/>
      <c r="AY37" s="352"/>
      <c r="AZ37" s="352"/>
      <c r="BA37" s="643" t="s">
        <v>2999</v>
      </c>
      <c r="BB37" s="643"/>
      <c r="BC37" s="642"/>
      <c r="BD37" s="642"/>
      <c r="BE37" s="642"/>
      <c r="BF37" s="642"/>
      <c r="BG37" s="642"/>
      <c r="BH37" s="642"/>
      <c r="BI37" s="642"/>
      <c r="BJ37" s="642"/>
      <c r="BK37" s="642"/>
      <c r="BL37" s="642"/>
      <c r="BM37" s="642"/>
      <c r="BN37" s="642"/>
      <c r="BO37" s="616" t="s">
        <v>466</v>
      </c>
      <c r="BP37" s="616"/>
      <c r="BR37" s="345"/>
    </row>
    <row r="38" spans="2:70" ht="6" customHeight="1">
      <c r="B38" s="348"/>
      <c r="S38" s="345"/>
      <c r="U38" s="630"/>
      <c r="V38" s="630"/>
      <c r="W38" s="630"/>
      <c r="X38" s="630"/>
      <c r="Y38" s="630"/>
      <c r="Z38" s="630"/>
      <c r="AA38" s="630"/>
      <c r="AB38" s="630"/>
      <c r="AC38" s="630"/>
      <c r="AD38" s="630"/>
      <c r="AE38" s="630"/>
      <c r="AF38" s="630"/>
      <c r="AG38" s="632"/>
      <c r="AH38" s="632"/>
      <c r="AI38" s="632"/>
      <c r="AJ38" s="632"/>
      <c r="AK38" s="632"/>
      <c r="AL38" s="632"/>
      <c r="AM38" s="616"/>
      <c r="AN38" s="616"/>
      <c r="AO38" s="616"/>
      <c r="AP38" s="616"/>
      <c r="AQ38" s="633"/>
      <c r="AR38" s="633"/>
      <c r="AS38" s="633"/>
      <c r="AT38" s="642"/>
      <c r="AU38" s="642"/>
      <c r="AV38" s="642"/>
      <c r="AW38" s="630"/>
      <c r="AX38" s="630"/>
      <c r="AY38" s="352"/>
      <c r="AZ38" s="352"/>
      <c r="BA38" s="643"/>
      <c r="BB38" s="643"/>
      <c r="BC38" s="642"/>
      <c r="BD38" s="642"/>
      <c r="BE38" s="642"/>
      <c r="BF38" s="642"/>
      <c r="BG38" s="642"/>
      <c r="BH38" s="642"/>
      <c r="BI38" s="642"/>
      <c r="BJ38" s="642"/>
      <c r="BK38" s="642"/>
      <c r="BL38" s="642"/>
      <c r="BM38" s="642"/>
      <c r="BN38" s="642"/>
      <c r="BO38" s="616"/>
      <c r="BP38" s="616"/>
      <c r="BR38" s="345"/>
    </row>
    <row r="39" spans="2:70" ht="6" customHeight="1">
      <c r="B39" s="348"/>
      <c r="S39" s="345"/>
      <c r="U39" s="630"/>
      <c r="V39" s="630"/>
      <c r="W39" s="630"/>
      <c r="X39" s="630"/>
      <c r="Y39" s="630"/>
      <c r="Z39" s="630"/>
      <c r="AA39" s="630"/>
      <c r="AB39" s="630"/>
      <c r="AC39" s="630"/>
      <c r="AD39" s="630"/>
      <c r="AE39" s="630"/>
      <c r="AF39" s="630"/>
      <c r="AG39" s="632"/>
      <c r="AH39" s="632"/>
      <c r="AI39" s="632"/>
      <c r="AJ39" s="632"/>
      <c r="AK39" s="632"/>
      <c r="AL39" s="632"/>
      <c r="AM39" s="616"/>
      <c r="AN39" s="616"/>
      <c r="AO39" s="616"/>
      <c r="AP39" s="616"/>
      <c r="AQ39" s="633"/>
      <c r="AR39" s="633"/>
      <c r="AS39" s="633"/>
      <c r="AT39" s="642"/>
      <c r="AU39" s="642"/>
      <c r="AV39" s="642"/>
      <c r="AW39" s="630"/>
      <c r="AX39" s="630"/>
      <c r="AY39" s="352"/>
      <c r="AZ39" s="352"/>
      <c r="BA39" s="643"/>
      <c r="BB39" s="643"/>
      <c r="BC39" s="642"/>
      <c r="BD39" s="642"/>
      <c r="BE39" s="642"/>
      <c r="BF39" s="642"/>
      <c r="BG39" s="642"/>
      <c r="BH39" s="642"/>
      <c r="BI39" s="642"/>
      <c r="BJ39" s="642"/>
      <c r="BK39" s="642"/>
      <c r="BL39" s="642"/>
      <c r="BM39" s="642"/>
      <c r="BN39" s="642"/>
      <c r="BO39" s="616"/>
      <c r="BP39" s="616"/>
      <c r="BR39" s="345"/>
    </row>
    <row r="40" spans="2:70" ht="6" customHeight="1">
      <c r="B40" s="344"/>
      <c r="C40" s="341"/>
      <c r="D40" s="341"/>
      <c r="E40" s="341"/>
      <c r="F40" s="341"/>
      <c r="G40" s="341"/>
      <c r="H40" s="341"/>
      <c r="I40" s="341"/>
      <c r="J40" s="341"/>
      <c r="K40" s="341"/>
      <c r="L40" s="341"/>
      <c r="M40" s="341"/>
      <c r="N40" s="341"/>
      <c r="O40" s="341"/>
      <c r="P40" s="341"/>
      <c r="Q40" s="341"/>
      <c r="R40" s="341"/>
      <c r="S40" s="340"/>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c r="BM40" s="341"/>
      <c r="BN40" s="341"/>
      <c r="BO40" s="341"/>
      <c r="BP40" s="341"/>
      <c r="BQ40" s="341"/>
      <c r="BR40" s="340"/>
    </row>
    <row r="41" spans="2:70" ht="6" customHeight="1">
      <c r="B41" s="348"/>
      <c r="P41" s="372"/>
      <c r="Q41" s="372"/>
      <c r="S41" s="345"/>
      <c r="U41" s="652"/>
      <c r="V41" s="652"/>
      <c r="W41" s="652"/>
      <c r="X41" s="652"/>
      <c r="Y41" s="652"/>
      <c r="Z41" s="652"/>
      <c r="AA41" s="652"/>
      <c r="AB41" s="652"/>
      <c r="AC41" s="652"/>
      <c r="AD41" s="652"/>
      <c r="AE41" s="652"/>
      <c r="AF41" s="652"/>
      <c r="AG41" s="652"/>
      <c r="AH41" s="652"/>
      <c r="AI41" s="652"/>
      <c r="AJ41" s="652"/>
      <c r="AK41" s="652"/>
      <c r="AL41" s="652"/>
      <c r="AM41" s="652"/>
      <c r="AN41" s="652"/>
      <c r="AP41" s="630" t="s">
        <v>3000</v>
      </c>
      <c r="AQ41" s="630"/>
      <c r="AR41" s="630"/>
      <c r="AS41" s="630"/>
      <c r="AT41" s="630"/>
      <c r="AU41" s="630"/>
      <c r="AV41" s="630"/>
      <c r="AW41" s="630"/>
      <c r="AX41" s="630"/>
      <c r="AY41" s="630"/>
      <c r="AZ41" s="643" t="s">
        <v>2999</v>
      </c>
      <c r="BA41" s="643"/>
      <c r="BB41" s="642"/>
      <c r="BC41" s="642"/>
      <c r="BD41" s="642"/>
      <c r="BE41" s="642"/>
      <c r="BF41" s="642"/>
      <c r="BG41" s="642"/>
      <c r="BH41" s="642"/>
      <c r="BI41" s="642"/>
      <c r="BJ41" s="642"/>
      <c r="BK41" s="642"/>
      <c r="BL41" s="642"/>
      <c r="BM41" s="642"/>
      <c r="BN41" s="642"/>
      <c r="BO41" s="616" t="s">
        <v>466</v>
      </c>
      <c r="BP41" s="616"/>
      <c r="BQ41" s="352"/>
      <c r="BR41" s="345"/>
    </row>
    <row r="42" spans="2:70" ht="6" customHeight="1">
      <c r="B42" s="348"/>
      <c r="P42" s="372"/>
      <c r="Q42" s="372"/>
      <c r="S42" s="345"/>
      <c r="U42" s="652"/>
      <c r="V42" s="652"/>
      <c r="W42" s="652"/>
      <c r="X42" s="652"/>
      <c r="Y42" s="652"/>
      <c r="Z42" s="652"/>
      <c r="AA42" s="652"/>
      <c r="AB42" s="652"/>
      <c r="AC42" s="652"/>
      <c r="AD42" s="652"/>
      <c r="AE42" s="652"/>
      <c r="AF42" s="652"/>
      <c r="AG42" s="652"/>
      <c r="AH42" s="652"/>
      <c r="AI42" s="652"/>
      <c r="AJ42" s="652"/>
      <c r="AK42" s="652"/>
      <c r="AL42" s="652"/>
      <c r="AM42" s="652"/>
      <c r="AN42" s="652"/>
      <c r="AP42" s="630"/>
      <c r="AQ42" s="630"/>
      <c r="AR42" s="630"/>
      <c r="AS42" s="630"/>
      <c r="AT42" s="630"/>
      <c r="AU42" s="630"/>
      <c r="AV42" s="630"/>
      <c r="AW42" s="630"/>
      <c r="AX42" s="630"/>
      <c r="AY42" s="630"/>
      <c r="AZ42" s="643"/>
      <c r="BA42" s="643"/>
      <c r="BB42" s="642"/>
      <c r="BC42" s="642"/>
      <c r="BD42" s="642"/>
      <c r="BE42" s="642"/>
      <c r="BF42" s="642"/>
      <c r="BG42" s="642"/>
      <c r="BH42" s="642"/>
      <c r="BI42" s="642"/>
      <c r="BJ42" s="642"/>
      <c r="BK42" s="642"/>
      <c r="BL42" s="642"/>
      <c r="BM42" s="642"/>
      <c r="BN42" s="642"/>
      <c r="BO42" s="616"/>
      <c r="BP42" s="616"/>
      <c r="BQ42" s="352"/>
      <c r="BR42" s="345"/>
    </row>
    <row r="43" spans="2:70" ht="6" customHeight="1">
      <c r="B43" s="645">
        <v>3</v>
      </c>
      <c r="C43" s="640"/>
      <c r="E43" s="638" t="s">
        <v>2998</v>
      </c>
      <c r="F43" s="638"/>
      <c r="G43" s="638"/>
      <c r="H43" s="638"/>
      <c r="I43" s="638"/>
      <c r="J43" s="638"/>
      <c r="K43" s="638"/>
      <c r="L43" s="638"/>
      <c r="M43" s="638"/>
      <c r="N43" s="638"/>
      <c r="O43" s="638"/>
      <c r="P43" s="638"/>
      <c r="Q43" s="638"/>
      <c r="R43" s="638"/>
      <c r="S43" s="345"/>
      <c r="U43" s="652"/>
      <c r="V43" s="652"/>
      <c r="W43" s="652"/>
      <c r="X43" s="652"/>
      <c r="Y43" s="652"/>
      <c r="Z43" s="652"/>
      <c r="AA43" s="652"/>
      <c r="AB43" s="652"/>
      <c r="AC43" s="652"/>
      <c r="AD43" s="652"/>
      <c r="AE43" s="652"/>
      <c r="AF43" s="652"/>
      <c r="AG43" s="652"/>
      <c r="AH43" s="652"/>
      <c r="AI43" s="652"/>
      <c r="AJ43" s="652"/>
      <c r="AK43" s="652"/>
      <c r="AL43" s="652"/>
      <c r="AM43" s="652"/>
      <c r="AN43" s="652"/>
      <c r="AP43" s="630"/>
      <c r="AQ43" s="630"/>
      <c r="AR43" s="630"/>
      <c r="AS43" s="630"/>
      <c r="AT43" s="630"/>
      <c r="AU43" s="630"/>
      <c r="AV43" s="630"/>
      <c r="AW43" s="630"/>
      <c r="AX43" s="630"/>
      <c r="AY43" s="630"/>
      <c r="AZ43" s="643"/>
      <c r="BA43" s="643"/>
      <c r="BB43" s="642"/>
      <c r="BC43" s="642"/>
      <c r="BD43" s="642"/>
      <c r="BE43" s="642"/>
      <c r="BF43" s="642"/>
      <c r="BG43" s="642"/>
      <c r="BH43" s="642"/>
      <c r="BI43" s="642"/>
      <c r="BJ43" s="642"/>
      <c r="BK43" s="642"/>
      <c r="BL43" s="642"/>
      <c r="BM43" s="642"/>
      <c r="BN43" s="642"/>
      <c r="BO43" s="616"/>
      <c r="BP43" s="616"/>
      <c r="BQ43" s="352"/>
      <c r="BR43" s="345"/>
    </row>
    <row r="44" spans="2:70" ht="6" customHeight="1">
      <c r="B44" s="645"/>
      <c r="C44" s="640"/>
      <c r="E44" s="638"/>
      <c r="F44" s="638"/>
      <c r="G44" s="638"/>
      <c r="H44" s="638"/>
      <c r="I44" s="638"/>
      <c r="J44" s="638"/>
      <c r="K44" s="638"/>
      <c r="L44" s="638"/>
      <c r="M44" s="638"/>
      <c r="N44" s="638"/>
      <c r="O44" s="638"/>
      <c r="P44" s="638"/>
      <c r="Q44" s="638"/>
      <c r="R44" s="638"/>
      <c r="S44" s="345"/>
      <c r="U44" s="652"/>
      <c r="V44" s="652"/>
      <c r="W44" s="652"/>
      <c r="X44" s="652"/>
      <c r="Y44" s="652"/>
      <c r="Z44" s="652"/>
      <c r="AA44" s="652"/>
      <c r="AB44" s="652"/>
      <c r="AC44" s="652"/>
      <c r="AD44" s="652"/>
      <c r="AE44" s="652"/>
      <c r="AF44" s="652"/>
      <c r="AG44" s="652"/>
      <c r="AH44" s="652"/>
      <c r="AI44" s="652"/>
      <c r="AJ44" s="652"/>
      <c r="AK44" s="652"/>
      <c r="AL44" s="652"/>
      <c r="AM44" s="652"/>
      <c r="AN44" s="652"/>
      <c r="AP44" s="630"/>
      <c r="AQ44" s="630"/>
      <c r="AR44" s="630"/>
      <c r="AS44" s="630"/>
      <c r="AT44" s="630"/>
      <c r="AU44" s="630"/>
      <c r="AV44" s="630"/>
      <c r="AW44" s="630"/>
      <c r="AX44" s="630"/>
      <c r="AY44" s="630"/>
      <c r="AZ44" s="643"/>
      <c r="BA44" s="643"/>
      <c r="BB44" s="642"/>
      <c r="BC44" s="642"/>
      <c r="BD44" s="642"/>
      <c r="BE44" s="642"/>
      <c r="BF44" s="642"/>
      <c r="BG44" s="642"/>
      <c r="BH44" s="642"/>
      <c r="BI44" s="642"/>
      <c r="BJ44" s="642"/>
      <c r="BK44" s="642"/>
      <c r="BL44" s="642"/>
      <c r="BM44" s="642"/>
      <c r="BN44" s="642"/>
      <c r="BO44" s="616"/>
      <c r="BP44" s="616"/>
      <c r="BQ44" s="352"/>
      <c r="BR44" s="345"/>
    </row>
    <row r="45" spans="2:70" ht="6" customHeight="1">
      <c r="B45" s="348"/>
      <c r="S45" s="345"/>
      <c r="U45" s="652"/>
      <c r="V45" s="652"/>
      <c r="W45" s="652"/>
      <c r="X45" s="652"/>
      <c r="Y45" s="652"/>
      <c r="Z45" s="652"/>
      <c r="AA45" s="652"/>
      <c r="AB45" s="652"/>
      <c r="AC45" s="652"/>
      <c r="AD45" s="652"/>
      <c r="AE45" s="652"/>
      <c r="AF45" s="652"/>
      <c r="AG45" s="652"/>
      <c r="AH45" s="652"/>
      <c r="AI45" s="652"/>
      <c r="AJ45" s="652"/>
      <c r="AK45" s="652"/>
      <c r="AL45" s="652"/>
      <c r="AM45" s="652"/>
      <c r="AN45" s="652"/>
      <c r="AP45" s="630"/>
      <c r="AQ45" s="630"/>
      <c r="AR45" s="630"/>
      <c r="AS45" s="630"/>
      <c r="AT45" s="630"/>
      <c r="AU45" s="630"/>
      <c r="AV45" s="630"/>
      <c r="AW45" s="630"/>
      <c r="AX45" s="630"/>
      <c r="AY45" s="630"/>
      <c r="AZ45" s="643"/>
      <c r="BA45" s="643"/>
      <c r="BB45" s="642"/>
      <c r="BC45" s="642"/>
      <c r="BD45" s="642"/>
      <c r="BE45" s="642"/>
      <c r="BF45" s="642"/>
      <c r="BG45" s="642"/>
      <c r="BH45" s="642"/>
      <c r="BI45" s="642"/>
      <c r="BJ45" s="642"/>
      <c r="BK45" s="642"/>
      <c r="BL45" s="642"/>
      <c r="BM45" s="642"/>
      <c r="BN45" s="642"/>
      <c r="BO45" s="616"/>
      <c r="BP45" s="616"/>
      <c r="BQ45" s="352"/>
      <c r="BR45" s="345"/>
    </row>
    <row r="46" spans="2:70" ht="6" customHeight="1">
      <c r="B46" s="344"/>
      <c r="J46" s="371"/>
      <c r="K46" s="371"/>
      <c r="L46" s="371"/>
      <c r="M46" s="371"/>
      <c r="N46" s="371"/>
      <c r="S46" s="345"/>
      <c r="U46" s="652"/>
      <c r="V46" s="652"/>
      <c r="W46" s="652"/>
      <c r="X46" s="652"/>
      <c r="Y46" s="652"/>
      <c r="Z46" s="652"/>
      <c r="AA46" s="652"/>
      <c r="AB46" s="652"/>
      <c r="AC46" s="652"/>
      <c r="AD46" s="652"/>
      <c r="AE46" s="652"/>
      <c r="AF46" s="652"/>
      <c r="AG46" s="652"/>
      <c r="AH46" s="652"/>
      <c r="AI46" s="652"/>
      <c r="AJ46" s="652"/>
      <c r="AK46" s="652"/>
      <c r="AL46" s="652"/>
      <c r="AM46" s="652"/>
      <c r="AN46" s="652"/>
      <c r="AP46" s="630"/>
      <c r="AQ46" s="630"/>
      <c r="AR46" s="630"/>
      <c r="AS46" s="630"/>
      <c r="AT46" s="630"/>
      <c r="AU46" s="630"/>
      <c r="AV46" s="630"/>
      <c r="AW46" s="630"/>
      <c r="AX46" s="630"/>
      <c r="AY46" s="630"/>
      <c r="AZ46" s="643"/>
      <c r="BA46" s="643"/>
      <c r="BB46" s="642"/>
      <c r="BC46" s="642"/>
      <c r="BD46" s="642"/>
      <c r="BE46" s="642"/>
      <c r="BF46" s="642"/>
      <c r="BG46" s="642"/>
      <c r="BH46" s="642"/>
      <c r="BI46" s="642"/>
      <c r="BJ46" s="642"/>
      <c r="BK46" s="642"/>
      <c r="BL46" s="642"/>
      <c r="BM46" s="642"/>
      <c r="BN46" s="642"/>
      <c r="BO46" s="616"/>
      <c r="BP46" s="616"/>
      <c r="BQ46" s="352"/>
      <c r="BR46" s="345"/>
    </row>
    <row r="47" spans="2:70" ht="6" customHeight="1">
      <c r="B47" s="348"/>
      <c r="C47" s="370"/>
      <c r="D47" s="370"/>
      <c r="E47" s="370"/>
      <c r="F47" s="370"/>
      <c r="G47" s="370"/>
      <c r="H47" s="370"/>
      <c r="I47" s="370"/>
      <c r="J47" s="370"/>
      <c r="K47" s="370"/>
      <c r="L47" s="370"/>
      <c r="M47" s="370"/>
      <c r="N47" s="370"/>
      <c r="O47" s="370"/>
      <c r="P47" s="370"/>
      <c r="Q47" s="370"/>
      <c r="R47" s="370"/>
      <c r="S47" s="369"/>
      <c r="T47" s="370"/>
      <c r="U47" s="370"/>
      <c r="V47" s="370"/>
      <c r="W47" s="370"/>
      <c r="X47" s="370"/>
      <c r="Y47" s="370"/>
      <c r="Z47" s="370"/>
      <c r="AA47" s="370"/>
      <c r="AB47" s="370"/>
      <c r="AC47" s="370"/>
      <c r="AD47" s="370"/>
      <c r="AE47" s="370"/>
      <c r="AF47" s="370"/>
      <c r="AG47" s="370"/>
      <c r="AH47" s="370"/>
      <c r="AI47" s="370"/>
      <c r="AJ47" s="370"/>
      <c r="AK47" s="370"/>
      <c r="AL47" s="370"/>
      <c r="AM47" s="370"/>
      <c r="AN47" s="370"/>
      <c r="AO47" s="370"/>
      <c r="AP47" s="370"/>
      <c r="AQ47" s="370"/>
      <c r="AR47" s="370"/>
      <c r="AS47" s="370"/>
      <c r="AT47" s="370"/>
      <c r="AU47" s="370"/>
      <c r="AV47" s="370"/>
      <c r="AW47" s="370"/>
      <c r="AX47" s="370"/>
      <c r="AY47" s="370"/>
      <c r="AZ47" s="370"/>
      <c r="BA47" s="370"/>
      <c r="BB47" s="370"/>
      <c r="BC47" s="370"/>
      <c r="BD47" s="370"/>
      <c r="BE47" s="370"/>
      <c r="BF47" s="370"/>
      <c r="BG47" s="370"/>
      <c r="BH47" s="370"/>
      <c r="BI47" s="370"/>
      <c r="BJ47" s="370"/>
      <c r="BK47" s="370"/>
      <c r="BL47" s="370"/>
      <c r="BM47" s="370"/>
      <c r="BN47" s="370"/>
      <c r="BO47" s="370"/>
      <c r="BP47" s="370"/>
      <c r="BQ47" s="370"/>
      <c r="BR47" s="369"/>
    </row>
    <row r="48" spans="2:70" ht="6" customHeight="1">
      <c r="B48" s="645">
        <v>4</v>
      </c>
      <c r="C48" s="640"/>
      <c r="E48" s="638" t="s">
        <v>2997</v>
      </c>
      <c r="F48" s="638"/>
      <c r="G48" s="638"/>
      <c r="H48" s="638"/>
      <c r="I48" s="638"/>
      <c r="J48" s="638"/>
      <c r="K48" s="638"/>
      <c r="L48" s="638"/>
      <c r="M48" s="638"/>
      <c r="N48" s="638"/>
      <c r="O48" s="638"/>
      <c r="P48" s="638"/>
      <c r="Q48" s="638"/>
      <c r="R48" s="638"/>
      <c r="S48" s="345"/>
      <c r="U48" s="644" t="str">
        <f>cst_wskakunin_BUILD__address</f>
        <v>静岡県静岡市葵区平和二丁目215-8</v>
      </c>
      <c r="V48" s="644"/>
      <c r="W48" s="644"/>
      <c r="X48" s="644"/>
      <c r="Y48" s="644"/>
      <c r="Z48" s="644"/>
      <c r="AA48" s="644"/>
      <c r="AB48" s="644"/>
      <c r="AC48" s="644"/>
      <c r="AD48" s="644"/>
      <c r="AE48" s="644"/>
      <c r="AF48" s="644"/>
      <c r="AG48" s="644"/>
      <c r="AH48" s="644"/>
      <c r="AI48" s="644"/>
      <c r="AJ48" s="644"/>
      <c r="AK48" s="644"/>
      <c r="AL48" s="644"/>
      <c r="AM48" s="644"/>
      <c r="AN48" s="644"/>
      <c r="AO48" s="644"/>
      <c r="AP48" s="644"/>
      <c r="AQ48" s="644"/>
      <c r="AR48" s="644"/>
      <c r="AS48" s="644"/>
      <c r="AT48" s="644"/>
      <c r="AU48" s="644"/>
      <c r="AV48" s="644"/>
      <c r="AW48" s="644"/>
      <c r="AX48" s="644"/>
      <c r="AY48" s="644"/>
      <c r="AZ48" s="644"/>
      <c r="BA48" s="644"/>
      <c r="BB48" s="644"/>
      <c r="BC48" s="644"/>
      <c r="BD48" s="644"/>
      <c r="BE48" s="644"/>
      <c r="BF48" s="644"/>
      <c r="BG48" s="644"/>
      <c r="BH48" s="644"/>
      <c r="BI48" s="644"/>
      <c r="BJ48" s="644"/>
      <c r="BK48" s="644"/>
      <c r="BL48" s="644"/>
      <c r="BM48" s="644"/>
      <c r="BN48" s="644"/>
      <c r="BO48" s="644"/>
      <c r="BP48" s="644"/>
      <c r="BQ48" s="644"/>
      <c r="BR48" s="345"/>
    </row>
    <row r="49" spans="2:70" ht="6" customHeight="1">
      <c r="B49" s="645"/>
      <c r="C49" s="640"/>
      <c r="E49" s="638"/>
      <c r="F49" s="638"/>
      <c r="G49" s="638"/>
      <c r="H49" s="638"/>
      <c r="I49" s="638"/>
      <c r="J49" s="638"/>
      <c r="K49" s="638"/>
      <c r="L49" s="638"/>
      <c r="M49" s="638"/>
      <c r="N49" s="638"/>
      <c r="O49" s="638"/>
      <c r="P49" s="638"/>
      <c r="Q49" s="638"/>
      <c r="R49" s="638"/>
      <c r="S49" s="345"/>
      <c r="U49" s="644"/>
      <c r="V49" s="644"/>
      <c r="W49" s="644"/>
      <c r="X49" s="644"/>
      <c r="Y49" s="644"/>
      <c r="Z49" s="644"/>
      <c r="AA49" s="644"/>
      <c r="AB49" s="644"/>
      <c r="AC49" s="644"/>
      <c r="AD49" s="644"/>
      <c r="AE49" s="644"/>
      <c r="AF49" s="644"/>
      <c r="AG49" s="644"/>
      <c r="AH49" s="644"/>
      <c r="AI49" s="644"/>
      <c r="AJ49" s="644"/>
      <c r="AK49" s="644"/>
      <c r="AL49" s="644"/>
      <c r="AM49" s="644"/>
      <c r="AN49" s="644"/>
      <c r="AO49" s="644"/>
      <c r="AP49" s="644"/>
      <c r="AQ49" s="644"/>
      <c r="AR49" s="644"/>
      <c r="AS49" s="644"/>
      <c r="AT49" s="644"/>
      <c r="AU49" s="644"/>
      <c r="AV49" s="644"/>
      <c r="AW49" s="644"/>
      <c r="AX49" s="644"/>
      <c r="AY49" s="644"/>
      <c r="AZ49" s="644"/>
      <c r="BA49" s="644"/>
      <c r="BB49" s="644"/>
      <c r="BC49" s="644"/>
      <c r="BD49" s="644"/>
      <c r="BE49" s="644"/>
      <c r="BF49" s="644"/>
      <c r="BG49" s="644"/>
      <c r="BH49" s="644"/>
      <c r="BI49" s="644"/>
      <c r="BJ49" s="644"/>
      <c r="BK49" s="644"/>
      <c r="BL49" s="644"/>
      <c r="BM49" s="644"/>
      <c r="BN49" s="644"/>
      <c r="BO49" s="644"/>
      <c r="BP49" s="644"/>
      <c r="BQ49" s="644"/>
      <c r="BR49" s="345"/>
    </row>
    <row r="50" spans="2:70" ht="6" customHeight="1">
      <c r="B50" s="645"/>
      <c r="C50" s="640"/>
      <c r="E50" s="638"/>
      <c r="F50" s="638"/>
      <c r="G50" s="638"/>
      <c r="H50" s="638"/>
      <c r="I50" s="638"/>
      <c r="J50" s="638"/>
      <c r="K50" s="638"/>
      <c r="L50" s="638"/>
      <c r="M50" s="638"/>
      <c r="N50" s="638"/>
      <c r="O50" s="638"/>
      <c r="P50" s="638"/>
      <c r="Q50" s="638"/>
      <c r="R50" s="638"/>
      <c r="S50" s="345"/>
      <c r="U50" s="644"/>
      <c r="V50" s="644"/>
      <c r="W50" s="644"/>
      <c r="X50" s="644"/>
      <c r="Y50" s="644"/>
      <c r="Z50" s="644"/>
      <c r="AA50" s="644"/>
      <c r="AB50" s="644"/>
      <c r="AC50" s="644"/>
      <c r="AD50" s="644"/>
      <c r="AE50" s="644"/>
      <c r="AF50" s="644"/>
      <c r="AG50" s="644"/>
      <c r="AH50" s="644"/>
      <c r="AI50" s="644"/>
      <c r="AJ50" s="644"/>
      <c r="AK50" s="644"/>
      <c r="AL50" s="644"/>
      <c r="AM50" s="644"/>
      <c r="AN50" s="644"/>
      <c r="AO50" s="644"/>
      <c r="AP50" s="644"/>
      <c r="AQ50" s="644"/>
      <c r="AR50" s="644"/>
      <c r="AS50" s="644"/>
      <c r="AT50" s="644"/>
      <c r="AU50" s="644"/>
      <c r="AV50" s="644"/>
      <c r="AW50" s="644"/>
      <c r="AX50" s="644"/>
      <c r="AY50" s="644"/>
      <c r="AZ50" s="644"/>
      <c r="BA50" s="644"/>
      <c r="BB50" s="644"/>
      <c r="BC50" s="644"/>
      <c r="BD50" s="644"/>
      <c r="BE50" s="644"/>
      <c r="BF50" s="644"/>
      <c r="BG50" s="644"/>
      <c r="BH50" s="644"/>
      <c r="BI50" s="644"/>
      <c r="BJ50" s="644"/>
      <c r="BK50" s="644"/>
      <c r="BL50" s="644"/>
      <c r="BM50" s="644"/>
      <c r="BN50" s="644"/>
      <c r="BO50" s="644"/>
      <c r="BP50" s="644"/>
      <c r="BQ50" s="644"/>
      <c r="BR50" s="345"/>
    </row>
    <row r="51" spans="2:70" ht="6" customHeight="1">
      <c r="B51" s="344"/>
      <c r="C51" s="341"/>
      <c r="D51" s="341"/>
      <c r="E51" s="341"/>
      <c r="F51" s="341"/>
      <c r="G51" s="341"/>
      <c r="H51" s="341"/>
      <c r="I51" s="341"/>
      <c r="J51" s="341"/>
      <c r="K51" s="341"/>
      <c r="L51" s="341"/>
      <c r="M51" s="341"/>
      <c r="N51" s="341"/>
      <c r="O51" s="341"/>
      <c r="P51" s="341"/>
      <c r="Q51" s="341"/>
      <c r="R51" s="341"/>
      <c r="S51" s="340"/>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1"/>
      <c r="BQ51" s="341"/>
      <c r="BR51" s="340"/>
    </row>
    <row r="52" spans="2:70" ht="6" customHeight="1">
      <c r="B52" s="348"/>
      <c r="S52" s="345"/>
      <c r="BR52" s="345"/>
    </row>
    <row r="53" spans="2:70" ht="6" customHeight="1">
      <c r="B53" s="645">
        <v>5</v>
      </c>
      <c r="C53" s="640"/>
      <c r="E53" s="638" t="s">
        <v>2996</v>
      </c>
      <c r="F53" s="638"/>
      <c r="G53" s="638"/>
      <c r="H53" s="638"/>
      <c r="I53" s="638"/>
      <c r="J53" s="638"/>
      <c r="K53" s="638"/>
      <c r="L53" s="638"/>
      <c r="M53" s="638"/>
      <c r="N53" s="638"/>
      <c r="O53" s="638"/>
      <c r="P53" s="638"/>
      <c r="Q53" s="638"/>
      <c r="R53" s="638"/>
      <c r="S53" s="345"/>
      <c r="U53" s="660" t="str">
        <f>cst_wskakunin_YOUTO</f>
        <v/>
      </c>
      <c r="V53" s="660"/>
      <c r="W53" s="660"/>
      <c r="X53" s="660"/>
      <c r="Y53" s="660"/>
      <c r="Z53" s="660"/>
      <c r="AA53" s="660"/>
      <c r="AB53" s="660"/>
      <c r="AC53" s="660"/>
      <c r="AD53" s="660"/>
      <c r="AE53" s="660"/>
      <c r="AF53" s="660"/>
      <c r="AG53" s="660"/>
      <c r="AH53" s="660"/>
      <c r="AI53" s="660"/>
      <c r="AJ53" s="660"/>
      <c r="AK53" s="660"/>
      <c r="AL53" s="660"/>
      <c r="AM53" s="660"/>
      <c r="AN53" s="660"/>
      <c r="AO53" s="660"/>
      <c r="AP53" s="660"/>
      <c r="AQ53" s="660"/>
      <c r="AR53" s="660"/>
      <c r="AS53" s="660"/>
      <c r="AT53" s="660"/>
      <c r="AU53" s="660"/>
      <c r="AV53" s="660"/>
      <c r="AW53" s="660"/>
      <c r="AX53" s="660"/>
      <c r="AY53" s="660"/>
      <c r="AZ53" s="660"/>
      <c r="BA53" s="660"/>
      <c r="BB53" s="660"/>
      <c r="BC53" s="660"/>
      <c r="BD53" s="660"/>
      <c r="BE53" s="660"/>
      <c r="BF53" s="660"/>
      <c r="BG53" s="660"/>
      <c r="BH53" s="660"/>
      <c r="BI53" s="660"/>
      <c r="BJ53" s="660"/>
      <c r="BK53" s="660"/>
      <c r="BL53" s="660"/>
      <c r="BM53" s="660"/>
      <c r="BN53" s="352"/>
      <c r="BO53" s="352"/>
      <c r="BP53" s="352"/>
      <c r="BQ53" s="352"/>
      <c r="BR53" s="345"/>
    </row>
    <row r="54" spans="2:70" ht="6" customHeight="1">
      <c r="B54" s="645"/>
      <c r="C54" s="640"/>
      <c r="E54" s="638"/>
      <c r="F54" s="638"/>
      <c r="G54" s="638"/>
      <c r="H54" s="638"/>
      <c r="I54" s="638"/>
      <c r="J54" s="638"/>
      <c r="K54" s="638"/>
      <c r="L54" s="638"/>
      <c r="M54" s="638"/>
      <c r="N54" s="638"/>
      <c r="O54" s="638"/>
      <c r="P54" s="638"/>
      <c r="Q54" s="638"/>
      <c r="R54" s="638"/>
      <c r="S54" s="345"/>
      <c r="U54" s="660"/>
      <c r="V54" s="660"/>
      <c r="W54" s="660"/>
      <c r="X54" s="660"/>
      <c r="Y54" s="660"/>
      <c r="Z54" s="660"/>
      <c r="AA54" s="660"/>
      <c r="AB54" s="660"/>
      <c r="AC54" s="660"/>
      <c r="AD54" s="660"/>
      <c r="AE54" s="660"/>
      <c r="AF54" s="660"/>
      <c r="AG54" s="660"/>
      <c r="AH54" s="660"/>
      <c r="AI54" s="660"/>
      <c r="AJ54" s="660"/>
      <c r="AK54" s="660"/>
      <c r="AL54" s="660"/>
      <c r="AM54" s="660"/>
      <c r="AN54" s="660"/>
      <c r="AO54" s="660"/>
      <c r="AP54" s="660"/>
      <c r="AQ54" s="660"/>
      <c r="AR54" s="660"/>
      <c r="AS54" s="660"/>
      <c r="AT54" s="660"/>
      <c r="AU54" s="660"/>
      <c r="AV54" s="660"/>
      <c r="AW54" s="660"/>
      <c r="AX54" s="660"/>
      <c r="AY54" s="660"/>
      <c r="AZ54" s="660"/>
      <c r="BA54" s="660"/>
      <c r="BB54" s="660"/>
      <c r="BC54" s="660"/>
      <c r="BD54" s="660"/>
      <c r="BE54" s="660"/>
      <c r="BF54" s="660"/>
      <c r="BG54" s="660"/>
      <c r="BH54" s="660"/>
      <c r="BI54" s="660"/>
      <c r="BJ54" s="660"/>
      <c r="BK54" s="660"/>
      <c r="BL54" s="660"/>
      <c r="BM54" s="660"/>
      <c r="BN54" s="352"/>
      <c r="BO54" s="352"/>
      <c r="BP54" s="352"/>
      <c r="BQ54" s="352"/>
      <c r="BR54" s="345"/>
    </row>
    <row r="55" spans="2:70" ht="6" customHeight="1">
      <c r="B55" s="645"/>
      <c r="C55" s="640"/>
      <c r="E55" s="638"/>
      <c r="F55" s="638"/>
      <c r="G55" s="638"/>
      <c r="H55" s="638"/>
      <c r="I55" s="638"/>
      <c r="J55" s="638"/>
      <c r="K55" s="638"/>
      <c r="L55" s="638"/>
      <c r="M55" s="638"/>
      <c r="N55" s="638"/>
      <c r="O55" s="638"/>
      <c r="P55" s="638"/>
      <c r="Q55" s="638"/>
      <c r="R55" s="638"/>
      <c r="S55" s="345"/>
      <c r="U55" s="660"/>
      <c r="V55" s="660"/>
      <c r="W55" s="660"/>
      <c r="X55" s="660"/>
      <c r="Y55" s="660"/>
      <c r="Z55" s="660"/>
      <c r="AA55" s="660"/>
      <c r="AB55" s="660"/>
      <c r="AC55" s="660"/>
      <c r="AD55" s="660"/>
      <c r="AE55" s="660"/>
      <c r="AF55" s="660"/>
      <c r="AG55" s="660"/>
      <c r="AH55" s="660"/>
      <c r="AI55" s="660"/>
      <c r="AJ55" s="660"/>
      <c r="AK55" s="660"/>
      <c r="AL55" s="660"/>
      <c r="AM55" s="660"/>
      <c r="AN55" s="660"/>
      <c r="AO55" s="660"/>
      <c r="AP55" s="660"/>
      <c r="AQ55" s="660"/>
      <c r="AR55" s="660"/>
      <c r="AS55" s="660"/>
      <c r="AT55" s="660"/>
      <c r="AU55" s="660"/>
      <c r="AV55" s="660"/>
      <c r="AW55" s="660"/>
      <c r="AX55" s="660"/>
      <c r="AY55" s="660"/>
      <c r="AZ55" s="660"/>
      <c r="BA55" s="660"/>
      <c r="BB55" s="660"/>
      <c r="BC55" s="660"/>
      <c r="BD55" s="660"/>
      <c r="BE55" s="660"/>
      <c r="BF55" s="660"/>
      <c r="BG55" s="660"/>
      <c r="BH55" s="660"/>
      <c r="BI55" s="660"/>
      <c r="BJ55" s="660"/>
      <c r="BK55" s="660"/>
      <c r="BL55" s="660"/>
      <c r="BM55" s="660"/>
      <c r="BN55" s="352"/>
      <c r="BO55" s="352"/>
      <c r="BP55" s="352"/>
      <c r="BQ55" s="352"/>
      <c r="BR55" s="345"/>
    </row>
    <row r="56" spans="2:70" ht="6" customHeight="1">
      <c r="B56" s="344"/>
      <c r="C56" s="341"/>
      <c r="D56" s="341"/>
      <c r="E56" s="341"/>
      <c r="F56" s="341"/>
      <c r="G56" s="341"/>
      <c r="H56" s="341"/>
      <c r="I56" s="341"/>
      <c r="J56" s="341"/>
      <c r="K56" s="341"/>
      <c r="L56" s="341"/>
      <c r="M56" s="341"/>
      <c r="N56" s="341"/>
      <c r="O56" s="341"/>
      <c r="P56" s="341"/>
      <c r="Q56" s="341"/>
      <c r="R56" s="341"/>
      <c r="S56" s="340"/>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0"/>
    </row>
    <row r="57" spans="2:70" ht="6" customHeight="1">
      <c r="B57" s="355">
        <v>6</v>
      </c>
      <c r="O57" s="347"/>
      <c r="S57" s="345"/>
      <c r="Z57" s="369"/>
      <c r="AG57" s="345"/>
      <c r="BR57" s="345"/>
    </row>
    <row r="58" spans="2:70" ht="6" customHeight="1">
      <c r="B58" s="355"/>
      <c r="O58" s="347"/>
      <c r="S58" s="345"/>
      <c r="Z58" s="345"/>
      <c r="AG58" s="345"/>
      <c r="AI58" s="616" t="s">
        <v>2995</v>
      </c>
      <c r="AJ58" s="616"/>
      <c r="AK58" s="616"/>
      <c r="AL58" s="616"/>
      <c r="AM58" s="622"/>
      <c r="AN58" s="622"/>
      <c r="AO58" s="622"/>
      <c r="AP58" s="622"/>
      <c r="AQ58" s="622"/>
      <c r="AR58" s="622"/>
      <c r="AS58" s="622"/>
      <c r="AT58" s="622"/>
      <c r="AU58" s="616" t="s">
        <v>2994</v>
      </c>
      <c r="AV58" s="616"/>
      <c r="AW58" s="616"/>
      <c r="AX58" s="616"/>
      <c r="AY58" s="616"/>
      <c r="AZ58" s="616"/>
      <c r="BA58" s="622"/>
      <c r="BB58" s="622"/>
      <c r="BC58" s="622"/>
      <c r="BD58" s="622"/>
      <c r="BE58" s="622"/>
      <c r="BF58" s="622"/>
      <c r="BG58" s="622"/>
      <c r="BH58" s="622"/>
      <c r="BI58" s="622"/>
      <c r="BJ58" s="622"/>
      <c r="BK58" s="622"/>
      <c r="BL58" s="622"/>
      <c r="BM58" s="622"/>
      <c r="BN58" s="622"/>
      <c r="BO58" s="622"/>
      <c r="BP58" s="622"/>
      <c r="BQ58" s="640" t="s">
        <v>4</v>
      </c>
      <c r="BR58" s="345"/>
    </row>
    <row r="59" spans="2:70" ht="6" customHeight="1">
      <c r="B59" s="355"/>
      <c r="O59" s="347"/>
      <c r="S59" s="345"/>
      <c r="Z59" s="345"/>
      <c r="AG59" s="345"/>
      <c r="AI59" s="616"/>
      <c r="AJ59" s="616"/>
      <c r="AK59" s="616"/>
      <c r="AL59" s="616"/>
      <c r="AM59" s="622"/>
      <c r="AN59" s="622"/>
      <c r="AO59" s="622"/>
      <c r="AP59" s="622"/>
      <c r="AQ59" s="622"/>
      <c r="AR59" s="622"/>
      <c r="AS59" s="622"/>
      <c r="AT59" s="622"/>
      <c r="AU59" s="616"/>
      <c r="AV59" s="616"/>
      <c r="AW59" s="616"/>
      <c r="AX59" s="616"/>
      <c r="AY59" s="616"/>
      <c r="AZ59" s="616"/>
      <c r="BA59" s="622"/>
      <c r="BB59" s="622"/>
      <c r="BC59" s="622"/>
      <c r="BD59" s="622"/>
      <c r="BE59" s="622"/>
      <c r="BF59" s="622"/>
      <c r="BG59" s="622"/>
      <c r="BH59" s="622"/>
      <c r="BI59" s="622"/>
      <c r="BJ59" s="622"/>
      <c r="BK59" s="622"/>
      <c r="BL59" s="622"/>
      <c r="BM59" s="622"/>
      <c r="BN59" s="622"/>
      <c r="BO59" s="622"/>
      <c r="BP59" s="622"/>
      <c r="BQ59" s="640"/>
      <c r="BR59" s="345"/>
    </row>
    <row r="60" spans="2:70" ht="6" customHeight="1">
      <c r="B60" s="355"/>
      <c r="O60" s="347"/>
      <c r="S60" s="345"/>
      <c r="Z60" s="345"/>
      <c r="AG60" s="345"/>
      <c r="AH60" s="344"/>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c r="BM60" s="341"/>
      <c r="BN60" s="341"/>
      <c r="BO60" s="341"/>
      <c r="BP60" s="341"/>
      <c r="BQ60" s="341"/>
      <c r="BR60" s="340"/>
    </row>
    <row r="61" spans="2:70" ht="6" customHeight="1">
      <c r="B61" s="645">
        <v>6</v>
      </c>
      <c r="C61" s="640"/>
      <c r="E61" s="638" t="s">
        <v>2993</v>
      </c>
      <c r="F61" s="638"/>
      <c r="G61" s="638"/>
      <c r="H61" s="638"/>
      <c r="I61" s="638"/>
      <c r="J61" s="638"/>
      <c r="K61" s="638"/>
      <c r="L61" s="638"/>
      <c r="M61" s="638"/>
      <c r="N61" s="638"/>
      <c r="O61" s="638"/>
      <c r="P61" s="638"/>
      <c r="Q61" s="638"/>
      <c r="R61" s="638"/>
      <c r="S61" s="345"/>
      <c r="T61" s="653"/>
      <c r="U61" s="654"/>
      <c r="V61" s="654"/>
      <c r="W61" s="654"/>
      <c r="X61" s="655" t="s">
        <v>2989</v>
      </c>
      <c r="Y61" s="655"/>
      <c r="Z61" s="345"/>
      <c r="AA61" s="616" t="s">
        <v>2992</v>
      </c>
      <c r="AB61" s="616"/>
      <c r="AC61" s="616"/>
      <c r="AD61" s="616"/>
      <c r="AE61" s="616"/>
      <c r="AF61" s="616"/>
      <c r="AG61" s="656"/>
      <c r="AH61" s="368"/>
      <c r="AI61" s="368"/>
      <c r="AJ61" s="368"/>
      <c r="AK61" s="368"/>
      <c r="AL61" s="368"/>
      <c r="AM61" s="368"/>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2"/>
      <c r="BJ61" s="352"/>
      <c r="BK61" s="352"/>
      <c r="BL61" s="352"/>
      <c r="BM61" s="352"/>
      <c r="BN61" s="352"/>
      <c r="BO61" s="352"/>
      <c r="BP61" s="352"/>
      <c r="BQ61" s="352"/>
      <c r="BR61" s="345"/>
    </row>
    <row r="62" spans="2:70" ht="6" customHeight="1">
      <c r="B62" s="645"/>
      <c r="C62" s="640"/>
      <c r="E62" s="638"/>
      <c r="F62" s="638"/>
      <c r="G62" s="638"/>
      <c r="H62" s="638"/>
      <c r="I62" s="638"/>
      <c r="J62" s="638"/>
      <c r="K62" s="638"/>
      <c r="L62" s="638"/>
      <c r="M62" s="638"/>
      <c r="N62" s="638"/>
      <c r="O62" s="638"/>
      <c r="P62" s="638"/>
      <c r="Q62" s="638"/>
      <c r="R62" s="638"/>
      <c r="S62" s="345"/>
      <c r="T62" s="653"/>
      <c r="U62" s="654"/>
      <c r="V62" s="654"/>
      <c r="W62" s="654"/>
      <c r="X62" s="655"/>
      <c r="Y62" s="655"/>
      <c r="Z62" s="345"/>
      <c r="AA62" s="616"/>
      <c r="AB62" s="616"/>
      <c r="AC62" s="616"/>
      <c r="AD62" s="616"/>
      <c r="AE62" s="616"/>
      <c r="AF62" s="616"/>
      <c r="AG62" s="656"/>
      <c r="AH62" s="657" t="s">
        <v>2991</v>
      </c>
      <c r="AI62" s="658"/>
      <c r="AJ62" s="658"/>
      <c r="AK62" s="658"/>
      <c r="AL62" s="658"/>
      <c r="AM62" s="658"/>
      <c r="AN62" s="634"/>
      <c r="AO62" s="634"/>
      <c r="AP62" s="634"/>
      <c r="AQ62" s="634"/>
      <c r="AR62" s="634"/>
      <c r="AS62" s="634"/>
      <c r="AT62" s="634"/>
      <c r="AU62" s="634"/>
      <c r="AV62" s="634"/>
      <c r="AW62" s="634"/>
      <c r="AX62" s="634"/>
      <c r="AY62" s="634"/>
      <c r="AZ62" s="634"/>
      <c r="BA62" s="634"/>
      <c r="BB62" s="634"/>
      <c r="BC62" s="634"/>
      <c r="BD62" s="634"/>
      <c r="BE62" s="634"/>
      <c r="BF62" s="634"/>
      <c r="BG62" s="634"/>
      <c r="BH62" s="634"/>
      <c r="BI62" s="634"/>
      <c r="BJ62" s="634"/>
      <c r="BK62" s="634"/>
      <c r="BL62" s="634"/>
      <c r="BM62" s="634"/>
      <c r="BN62" s="634"/>
      <c r="BO62" s="634"/>
      <c r="BP62" s="634"/>
      <c r="BQ62" s="634"/>
      <c r="BR62" s="659"/>
    </row>
    <row r="63" spans="2:70" ht="6" customHeight="1">
      <c r="B63" s="645"/>
      <c r="C63" s="640"/>
      <c r="E63" s="638"/>
      <c r="F63" s="638"/>
      <c r="G63" s="638"/>
      <c r="H63" s="638"/>
      <c r="I63" s="638"/>
      <c r="J63" s="638"/>
      <c r="K63" s="638"/>
      <c r="L63" s="638"/>
      <c r="M63" s="638"/>
      <c r="N63" s="638"/>
      <c r="O63" s="638"/>
      <c r="P63" s="638"/>
      <c r="Q63" s="638"/>
      <c r="R63" s="638"/>
      <c r="S63" s="345"/>
      <c r="T63" s="653"/>
      <c r="U63" s="654"/>
      <c r="V63" s="654"/>
      <c r="W63" s="654"/>
      <c r="X63" s="655"/>
      <c r="Y63" s="655"/>
      <c r="Z63" s="345"/>
      <c r="AA63" s="616"/>
      <c r="AB63" s="616"/>
      <c r="AC63" s="616"/>
      <c r="AD63" s="616"/>
      <c r="AE63" s="616"/>
      <c r="AF63" s="616"/>
      <c r="AG63" s="656"/>
      <c r="AH63" s="657"/>
      <c r="AI63" s="658"/>
      <c r="AJ63" s="658"/>
      <c r="AK63" s="658"/>
      <c r="AL63" s="658"/>
      <c r="AM63" s="658"/>
      <c r="AN63" s="634"/>
      <c r="AO63" s="634"/>
      <c r="AP63" s="634"/>
      <c r="AQ63" s="634"/>
      <c r="AR63" s="634"/>
      <c r="AS63" s="634"/>
      <c r="AT63" s="634"/>
      <c r="AU63" s="634"/>
      <c r="AV63" s="634"/>
      <c r="AW63" s="634"/>
      <c r="AX63" s="634"/>
      <c r="AY63" s="634"/>
      <c r="AZ63" s="634"/>
      <c r="BA63" s="634"/>
      <c r="BB63" s="634"/>
      <c r="BC63" s="634"/>
      <c r="BD63" s="634"/>
      <c r="BE63" s="634"/>
      <c r="BF63" s="634"/>
      <c r="BG63" s="634"/>
      <c r="BH63" s="634"/>
      <c r="BI63" s="634"/>
      <c r="BJ63" s="634"/>
      <c r="BK63" s="634"/>
      <c r="BL63" s="634"/>
      <c r="BM63" s="634"/>
      <c r="BN63" s="634"/>
      <c r="BO63" s="634"/>
      <c r="BP63" s="634"/>
      <c r="BQ63" s="634"/>
      <c r="BR63" s="659"/>
    </row>
    <row r="64" spans="2:70" ht="6" customHeight="1">
      <c r="B64" s="645"/>
      <c r="C64" s="640"/>
      <c r="E64" s="638"/>
      <c r="F64" s="638"/>
      <c r="G64" s="638"/>
      <c r="H64" s="638"/>
      <c r="I64" s="638"/>
      <c r="J64" s="638"/>
      <c r="K64" s="638"/>
      <c r="L64" s="638"/>
      <c r="M64" s="638"/>
      <c r="N64" s="638"/>
      <c r="O64" s="638"/>
      <c r="P64" s="638"/>
      <c r="Q64" s="638"/>
      <c r="R64" s="638"/>
      <c r="S64" s="345"/>
      <c r="T64" s="653"/>
      <c r="U64" s="654"/>
      <c r="V64" s="654"/>
      <c r="W64" s="654"/>
      <c r="X64" s="655"/>
      <c r="Y64" s="655"/>
      <c r="Z64" s="345"/>
      <c r="AA64" s="616"/>
      <c r="AB64" s="616"/>
      <c r="AC64" s="616"/>
      <c r="AD64" s="616"/>
      <c r="AE64" s="616"/>
      <c r="AF64" s="616"/>
      <c r="AG64" s="656"/>
      <c r="AI64" s="623"/>
      <c r="AJ64" s="623"/>
      <c r="AK64" s="623"/>
      <c r="AL64" s="623"/>
      <c r="AM64" s="623"/>
      <c r="AN64" s="623"/>
      <c r="AO64" s="623"/>
      <c r="AP64" s="623"/>
      <c r="AQ64" s="623"/>
      <c r="AR64" s="623"/>
      <c r="AS64" s="623"/>
      <c r="AT64" s="623"/>
      <c r="AU64" s="623"/>
      <c r="AV64" s="623"/>
      <c r="AW64" s="623"/>
      <c r="AX64" s="623"/>
      <c r="AY64" s="623"/>
      <c r="AZ64" s="623"/>
      <c r="BA64" s="623"/>
      <c r="BB64" s="623"/>
      <c r="BC64" s="623"/>
      <c r="BD64" s="623"/>
      <c r="BE64" s="623"/>
      <c r="BF64" s="623"/>
      <c r="BG64" s="623"/>
      <c r="BH64" s="623"/>
      <c r="BI64" s="623"/>
      <c r="BJ64" s="623"/>
      <c r="BK64" s="623"/>
      <c r="BL64" s="623"/>
      <c r="BM64" s="623"/>
      <c r="BN64" s="623"/>
      <c r="BO64" s="623"/>
      <c r="BP64" s="623"/>
      <c r="BQ64" s="623"/>
      <c r="BR64" s="624"/>
    </row>
    <row r="65" spans="1:125" ht="6" customHeight="1">
      <c r="A65" s="345"/>
      <c r="S65" s="345"/>
      <c r="Z65" s="345"/>
      <c r="AG65" s="345"/>
      <c r="AI65" s="623"/>
      <c r="AJ65" s="623"/>
      <c r="AK65" s="623"/>
      <c r="AL65" s="623"/>
      <c r="AM65" s="623"/>
      <c r="AN65" s="623"/>
      <c r="AO65" s="623"/>
      <c r="AP65" s="623"/>
      <c r="AQ65" s="623"/>
      <c r="AR65" s="623"/>
      <c r="AS65" s="623"/>
      <c r="AT65" s="623"/>
      <c r="AU65" s="623"/>
      <c r="AV65" s="623"/>
      <c r="AW65" s="623"/>
      <c r="AX65" s="623"/>
      <c r="AY65" s="623"/>
      <c r="AZ65" s="623"/>
      <c r="BA65" s="623"/>
      <c r="BB65" s="623"/>
      <c r="BC65" s="623"/>
      <c r="BD65" s="623"/>
      <c r="BE65" s="623"/>
      <c r="BF65" s="623"/>
      <c r="BG65" s="623"/>
      <c r="BH65" s="623"/>
      <c r="BI65" s="623"/>
      <c r="BJ65" s="623"/>
      <c r="BK65" s="623"/>
      <c r="BL65" s="623"/>
      <c r="BM65" s="623"/>
      <c r="BN65" s="623"/>
      <c r="BO65" s="623"/>
      <c r="BP65" s="623"/>
      <c r="BQ65" s="623"/>
      <c r="BR65" s="624"/>
    </row>
    <row r="66" spans="1:125" ht="6" customHeight="1">
      <c r="A66" s="345"/>
      <c r="S66" s="345"/>
      <c r="Z66" s="345"/>
      <c r="AG66" s="345"/>
      <c r="AI66" s="623"/>
      <c r="AJ66" s="623"/>
      <c r="AK66" s="623"/>
      <c r="AL66" s="623"/>
      <c r="AM66" s="623"/>
      <c r="AN66" s="623"/>
      <c r="AO66" s="623"/>
      <c r="AP66" s="623"/>
      <c r="AQ66" s="623"/>
      <c r="AR66" s="623"/>
      <c r="AS66" s="623"/>
      <c r="AT66" s="623"/>
      <c r="AU66" s="623"/>
      <c r="AV66" s="623"/>
      <c r="AW66" s="623"/>
      <c r="AX66" s="623"/>
      <c r="AY66" s="623"/>
      <c r="AZ66" s="623"/>
      <c r="BA66" s="623"/>
      <c r="BB66" s="623"/>
      <c r="BC66" s="623"/>
      <c r="BD66" s="623"/>
      <c r="BE66" s="623"/>
      <c r="BF66" s="623"/>
      <c r="BG66" s="623"/>
      <c r="BH66" s="623"/>
      <c r="BI66" s="623"/>
      <c r="BJ66" s="623"/>
      <c r="BK66" s="623"/>
      <c r="BL66" s="623"/>
      <c r="BM66" s="623"/>
      <c r="BN66" s="623"/>
      <c r="BO66" s="623"/>
      <c r="BP66" s="623"/>
      <c r="BQ66" s="623"/>
      <c r="BR66" s="624"/>
    </row>
    <row r="67" spans="1:125" ht="6" customHeight="1">
      <c r="A67" s="345"/>
      <c r="S67" s="345"/>
      <c r="Z67" s="345"/>
      <c r="AG67" s="345"/>
      <c r="AI67" s="623"/>
      <c r="AJ67" s="623"/>
      <c r="AK67" s="623"/>
      <c r="AL67" s="623"/>
      <c r="AM67" s="623"/>
      <c r="AN67" s="623"/>
      <c r="AO67" s="623"/>
      <c r="AP67" s="623"/>
      <c r="AQ67" s="623"/>
      <c r="AR67" s="623"/>
      <c r="AS67" s="623"/>
      <c r="AT67" s="623"/>
      <c r="AU67" s="623"/>
      <c r="AV67" s="623"/>
      <c r="AW67" s="623"/>
      <c r="AX67" s="623"/>
      <c r="AY67" s="623"/>
      <c r="AZ67" s="623"/>
      <c r="BA67" s="623"/>
      <c r="BB67" s="623"/>
      <c r="BC67" s="623"/>
      <c r="BD67" s="623"/>
      <c r="BE67" s="623"/>
      <c r="BF67" s="623"/>
      <c r="BG67" s="623"/>
      <c r="BH67" s="623"/>
      <c r="BI67" s="623"/>
      <c r="BJ67" s="623"/>
      <c r="BK67" s="623"/>
      <c r="BL67" s="623"/>
      <c r="BM67" s="623"/>
      <c r="BN67" s="623"/>
      <c r="BO67" s="623"/>
      <c r="BP67" s="623"/>
      <c r="BQ67" s="623"/>
      <c r="BR67" s="624"/>
    </row>
    <row r="68" spans="1:125" ht="6" customHeight="1">
      <c r="B68" s="355"/>
      <c r="O68" s="347"/>
      <c r="P68" s="367"/>
      <c r="Q68" s="367"/>
      <c r="R68" s="347"/>
      <c r="S68" s="345"/>
      <c r="Z68" s="345"/>
      <c r="AG68" s="345"/>
      <c r="AI68" s="623"/>
      <c r="AJ68" s="623"/>
      <c r="AK68" s="623"/>
      <c r="AL68" s="623"/>
      <c r="AM68" s="623"/>
      <c r="AN68" s="623"/>
      <c r="AO68" s="623"/>
      <c r="AP68" s="623"/>
      <c r="AQ68" s="623"/>
      <c r="AR68" s="623"/>
      <c r="AS68" s="623"/>
      <c r="AT68" s="623"/>
      <c r="AU68" s="623"/>
      <c r="AV68" s="623"/>
      <c r="AW68" s="623"/>
      <c r="AX68" s="623"/>
      <c r="AY68" s="623"/>
      <c r="AZ68" s="623"/>
      <c r="BA68" s="623"/>
      <c r="BB68" s="623"/>
      <c r="BC68" s="623"/>
      <c r="BD68" s="623"/>
      <c r="BE68" s="623"/>
      <c r="BF68" s="623"/>
      <c r="BG68" s="623"/>
      <c r="BH68" s="623"/>
      <c r="BI68" s="623"/>
      <c r="BJ68" s="623"/>
      <c r="BK68" s="623"/>
      <c r="BL68" s="623"/>
      <c r="BM68" s="623"/>
      <c r="BN68" s="623"/>
      <c r="BO68" s="623"/>
      <c r="BP68" s="623"/>
      <c r="BQ68" s="623"/>
      <c r="BR68" s="624"/>
    </row>
    <row r="69" spans="1:125" ht="6" customHeight="1">
      <c r="B69" s="355"/>
      <c r="O69" s="347"/>
      <c r="P69" s="367"/>
      <c r="Q69" s="367"/>
      <c r="R69" s="347"/>
      <c r="S69" s="345"/>
      <c r="Z69" s="345"/>
      <c r="AG69" s="345"/>
      <c r="AI69" s="623"/>
      <c r="AJ69" s="623"/>
      <c r="AK69" s="623"/>
      <c r="AL69" s="623"/>
      <c r="AM69" s="623"/>
      <c r="AN69" s="623"/>
      <c r="AO69" s="623"/>
      <c r="AP69" s="623"/>
      <c r="AQ69" s="623"/>
      <c r="AR69" s="623"/>
      <c r="AS69" s="623"/>
      <c r="AT69" s="623"/>
      <c r="AU69" s="623"/>
      <c r="AV69" s="623"/>
      <c r="AW69" s="623"/>
      <c r="AX69" s="623"/>
      <c r="AY69" s="623"/>
      <c r="AZ69" s="623"/>
      <c r="BA69" s="623"/>
      <c r="BB69" s="623"/>
      <c r="BC69" s="623"/>
      <c r="BD69" s="623"/>
      <c r="BE69" s="623"/>
      <c r="BF69" s="623"/>
      <c r="BG69" s="623"/>
      <c r="BH69" s="623"/>
      <c r="BI69" s="623"/>
      <c r="BJ69" s="623"/>
      <c r="BK69" s="623"/>
      <c r="BL69" s="623"/>
      <c r="BM69" s="623"/>
      <c r="BN69" s="623"/>
      <c r="BO69" s="623"/>
      <c r="BP69" s="623"/>
      <c r="BQ69" s="623"/>
      <c r="BR69" s="624"/>
    </row>
    <row r="70" spans="1:125" ht="6" customHeight="1">
      <c r="B70" s="355"/>
      <c r="O70" s="347"/>
      <c r="P70" s="367"/>
      <c r="Q70" s="367"/>
      <c r="R70" s="347"/>
      <c r="S70" s="345"/>
      <c r="Z70" s="345"/>
      <c r="AG70" s="345"/>
      <c r="AI70" s="625" t="s">
        <v>2990</v>
      </c>
      <c r="AJ70" s="625"/>
      <c r="AK70" s="625"/>
      <c r="AL70" s="625"/>
      <c r="AM70" s="625"/>
      <c r="AN70" s="625"/>
      <c r="AO70" s="625"/>
      <c r="AP70" s="627"/>
      <c r="AQ70" s="628"/>
      <c r="AR70" s="628"/>
      <c r="AS70" s="628"/>
      <c r="AT70" s="628"/>
      <c r="AU70" s="625" t="s">
        <v>2989</v>
      </c>
      <c r="AV70" s="625"/>
      <c r="AW70" s="625"/>
      <c r="AX70" s="625" t="s">
        <v>2988</v>
      </c>
      <c r="AY70" s="625"/>
      <c r="AZ70" s="625"/>
      <c r="BA70" s="625"/>
      <c r="BB70" s="628"/>
      <c r="BC70" s="628"/>
      <c r="BD70" s="628"/>
      <c r="BE70" s="628"/>
      <c r="BF70" s="628"/>
      <c r="BG70" s="628"/>
      <c r="BH70" s="625" t="s">
        <v>2975</v>
      </c>
      <c r="BI70" s="625"/>
      <c r="BJ70" s="625"/>
      <c r="BK70" s="625"/>
      <c r="BL70" s="366"/>
      <c r="BM70" s="366"/>
      <c r="BN70" s="366"/>
      <c r="BO70" s="366"/>
      <c r="BP70" s="366"/>
      <c r="BQ70" s="366"/>
      <c r="BR70" s="365"/>
    </row>
    <row r="71" spans="1:125" ht="6" customHeight="1">
      <c r="B71" s="358"/>
      <c r="C71" s="341"/>
      <c r="D71" s="341"/>
      <c r="E71" s="341"/>
      <c r="F71" s="341"/>
      <c r="G71" s="341"/>
      <c r="H71" s="341"/>
      <c r="I71" s="341"/>
      <c r="J71" s="341"/>
      <c r="K71" s="341"/>
      <c r="L71" s="341"/>
      <c r="M71" s="341"/>
      <c r="N71" s="341"/>
      <c r="O71" s="343"/>
      <c r="P71" s="364"/>
      <c r="Q71" s="364"/>
      <c r="R71" s="343"/>
      <c r="S71" s="340"/>
      <c r="T71" s="341"/>
      <c r="U71" s="341"/>
      <c r="V71" s="341"/>
      <c r="W71" s="341"/>
      <c r="X71" s="341"/>
      <c r="Y71" s="341"/>
      <c r="Z71" s="340"/>
      <c r="AA71" s="341"/>
      <c r="AB71" s="341"/>
      <c r="AC71" s="341"/>
      <c r="AD71" s="341"/>
      <c r="AE71" s="341"/>
      <c r="AF71" s="341"/>
      <c r="AG71" s="340"/>
      <c r="AH71" s="341"/>
      <c r="AI71" s="626"/>
      <c r="AJ71" s="626"/>
      <c r="AK71" s="626"/>
      <c r="AL71" s="626"/>
      <c r="AM71" s="626"/>
      <c r="AN71" s="626"/>
      <c r="AO71" s="626"/>
      <c r="AP71" s="629"/>
      <c r="AQ71" s="629"/>
      <c r="AR71" s="629"/>
      <c r="AS71" s="629"/>
      <c r="AT71" s="629"/>
      <c r="AU71" s="626"/>
      <c r="AV71" s="626"/>
      <c r="AW71" s="626"/>
      <c r="AX71" s="626"/>
      <c r="AY71" s="626"/>
      <c r="AZ71" s="626"/>
      <c r="BA71" s="626"/>
      <c r="BB71" s="629"/>
      <c r="BC71" s="629"/>
      <c r="BD71" s="629"/>
      <c r="BE71" s="629"/>
      <c r="BF71" s="629"/>
      <c r="BG71" s="629"/>
      <c r="BH71" s="626"/>
      <c r="BI71" s="626"/>
      <c r="BJ71" s="626"/>
      <c r="BK71" s="626"/>
      <c r="BL71" s="363"/>
      <c r="BM71" s="363"/>
      <c r="BN71" s="363"/>
      <c r="BO71" s="363"/>
      <c r="BP71" s="363"/>
      <c r="BQ71" s="363"/>
      <c r="BR71" s="362"/>
    </row>
    <row r="72" spans="1:125" ht="6" customHeight="1">
      <c r="B72" s="348"/>
      <c r="S72" s="345"/>
      <c r="BR72" s="345"/>
    </row>
    <row r="73" spans="1:125" ht="6" customHeight="1">
      <c r="B73" s="645">
        <v>7</v>
      </c>
      <c r="C73" s="640"/>
      <c r="E73" s="661" t="s">
        <v>2987</v>
      </c>
      <c r="F73" s="661"/>
      <c r="G73" s="661"/>
      <c r="H73" s="661"/>
      <c r="I73" s="661"/>
      <c r="J73" s="661"/>
      <c r="K73" s="661"/>
      <c r="L73" s="661"/>
      <c r="M73" s="661"/>
      <c r="N73" s="661"/>
      <c r="O73" s="661"/>
      <c r="P73" s="661"/>
      <c r="Q73" s="661"/>
      <c r="R73" s="661"/>
      <c r="S73" s="662"/>
      <c r="Z73" s="663"/>
      <c r="AA73" s="663"/>
      <c r="AB73" s="655" t="s">
        <v>2986</v>
      </c>
      <c r="AC73" s="655"/>
      <c r="AD73" s="655"/>
      <c r="AE73" s="655"/>
      <c r="AF73" s="655"/>
      <c r="AG73" s="655"/>
      <c r="AH73" s="655"/>
      <c r="AI73" s="655"/>
      <c r="AJ73" s="655"/>
      <c r="AK73" s="640" t="s">
        <v>2985</v>
      </c>
      <c r="AL73" s="640"/>
      <c r="AN73" s="663" t="s">
        <v>3015</v>
      </c>
      <c r="AO73" s="663"/>
      <c r="AP73" s="655" t="s">
        <v>2984</v>
      </c>
      <c r="AQ73" s="655"/>
      <c r="AR73" s="655"/>
      <c r="AS73" s="655"/>
      <c r="AT73" s="655"/>
      <c r="AU73" s="655"/>
      <c r="AV73" s="655"/>
      <c r="AW73" s="655"/>
      <c r="AX73" s="655"/>
      <c r="BR73" s="345"/>
      <c r="CA73" s="352"/>
      <c r="CB73" s="352"/>
      <c r="CC73" s="352"/>
      <c r="CD73" s="352"/>
      <c r="CE73" s="352"/>
      <c r="CF73" s="352"/>
      <c r="CG73" s="352"/>
      <c r="CH73" s="352"/>
      <c r="CI73" s="352"/>
      <c r="CJ73" s="352"/>
      <c r="CK73" s="352"/>
      <c r="CL73" s="352"/>
      <c r="CM73" s="352"/>
      <c r="CN73" s="352"/>
      <c r="CO73" s="352"/>
      <c r="CP73" s="352"/>
      <c r="CQ73" s="352"/>
      <c r="CR73" s="352"/>
      <c r="CS73" s="352"/>
      <c r="CT73" s="352"/>
      <c r="CU73" s="352"/>
      <c r="CV73" s="352"/>
      <c r="CW73" s="352"/>
      <c r="CX73" s="352"/>
      <c r="CY73" s="352"/>
      <c r="CZ73" s="352"/>
      <c r="DA73" s="352"/>
      <c r="DB73" s="352"/>
      <c r="DC73" s="352"/>
      <c r="DD73" s="352"/>
      <c r="DE73" s="352"/>
      <c r="DF73" s="352"/>
      <c r="DG73" s="352"/>
      <c r="DH73" s="352"/>
    </row>
    <row r="74" spans="1:125" ht="6" customHeight="1">
      <c r="B74" s="645"/>
      <c r="C74" s="640"/>
      <c r="E74" s="661"/>
      <c r="F74" s="661"/>
      <c r="G74" s="661"/>
      <c r="H74" s="661"/>
      <c r="I74" s="661"/>
      <c r="J74" s="661"/>
      <c r="K74" s="661"/>
      <c r="L74" s="661"/>
      <c r="M74" s="661"/>
      <c r="N74" s="661"/>
      <c r="O74" s="661"/>
      <c r="P74" s="661"/>
      <c r="Q74" s="661"/>
      <c r="R74" s="661"/>
      <c r="S74" s="662"/>
      <c r="Z74" s="663"/>
      <c r="AA74" s="663"/>
      <c r="AB74" s="655"/>
      <c r="AC74" s="655"/>
      <c r="AD74" s="655"/>
      <c r="AE74" s="655"/>
      <c r="AF74" s="655"/>
      <c r="AG74" s="655"/>
      <c r="AH74" s="655"/>
      <c r="AI74" s="655"/>
      <c r="AJ74" s="655"/>
      <c r="AK74" s="640"/>
      <c r="AL74" s="640"/>
      <c r="AN74" s="663"/>
      <c r="AO74" s="663"/>
      <c r="AP74" s="655"/>
      <c r="AQ74" s="655"/>
      <c r="AR74" s="655"/>
      <c r="AS74" s="655"/>
      <c r="AT74" s="655"/>
      <c r="AU74" s="655"/>
      <c r="AV74" s="655"/>
      <c r="AW74" s="655"/>
      <c r="AX74" s="655"/>
      <c r="BR74" s="345"/>
      <c r="CA74" s="352"/>
      <c r="CB74" s="352"/>
      <c r="CC74" s="352"/>
      <c r="CD74" s="352"/>
      <c r="CE74" s="352"/>
      <c r="CF74" s="352"/>
      <c r="CG74" s="352"/>
      <c r="CH74" s="352"/>
      <c r="CI74" s="352"/>
      <c r="CJ74" s="352"/>
      <c r="CK74" s="352"/>
      <c r="CL74" s="352"/>
      <c r="CM74" s="352"/>
      <c r="CN74" s="352"/>
      <c r="CO74" s="352"/>
      <c r="CP74" s="352"/>
      <c r="CQ74" s="352"/>
      <c r="CR74" s="352"/>
      <c r="CS74" s="352"/>
      <c r="CT74" s="352"/>
      <c r="CU74" s="352"/>
      <c r="CV74" s="352"/>
      <c r="CW74" s="352"/>
      <c r="CX74" s="352"/>
      <c r="CY74" s="352"/>
      <c r="CZ74" s="352"/>
      <c r="DA74" s="352"/>
      <c r="DB74" s="352"/>
      <c r="DC74" s="352"/>
      <c r="DD74" s="352"/>
      <c r="DE74" s="352"/>
      <c r="DF74" s="352"/>
      <c r="DG74" s="352"/>
      <c r="DH74" s="352"/>
    </row>
    <row r="75" spans="1:125" ht="6" customHeight="1">
      <c r="B75" s="344"/>
      <c r="C75" s="341"/>
      <c r="D75" s="341"/>
      <c r="E75" s="341"/>
      <c r="F75" s="341"/>
      <c r="G75" s="341"/>
      <c r="H75" s="341"/>
      <c r="I75" s="341"/>
      <c r="J75" s="341"/>
      <c r="K75" s="341"/>
      <c r="L75" s="341"/>
      <c r="M75" s="341"/>
      <c r="N75" s="341"/>
      <c r="O75" s="341"/>
      <c r="P75" s="341"/>
      <c r="Q75" s="341"/>
      <c r="R75" s="341"/>
      <c r="S75" s="340"/>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1"/>
      <c r="BQ75" s="341"/>
      <c r="BR75" s="340"/>
    </row>
    <row r="76" spans="1:125" ht="6" customHeight="1">
      <c r="B76" s="355">
        <v>8</v>
      </c>
      <c r="S76" s="345"/>
      <c r="BR76" s="345"/>
    </row>
    <row r="77" spans="1:125" ht="6" customHeight="1">
      <c r="B77" s="355"/>
      <c r="I77" s="354">
        <v>-1</v>
      </c>
      <c r="J77" s="354"/>
      <c r="S77" s="345"/>
      <c r="T77" s="664" t="s">
        <v>3015</v>
      </c>
      <c r="U77" s="663"/>
      <c r="V77" s="616" t="s">
        <v>53</v>
      </c>
      <c r="W77" s="616"/>
      <c r="X77" s="616"/>
      <c r="Y77" s="630" t="s">
        <v>2982</v>
      </c>
      <c r="Z77" s="630"/>
      <c r="AA77" s="630"/>
      <c r="AB77" s="630"/>
      <c r="AC77" s="630"/>
      <c r="AD77" s="630"/>
      <c r="AE77" s="630"/>
      <c r="AF77" s="630"/>
      <c r="AG77" s="630"/>
      <c r="AH77" s="630"/>
      <c r="AI77" s="630"/>
      <c r="AJ77" s="352"/>
      <c r="AK77" s="352"/>
      <c r="AL77" s="630" t="s">
        <v>2981</v>
      </c>
      <c r="AM77" s="630"/>
      <c r="AN77" s="630"/>
      <c r="AO77" s="630"/>
      <c r="AP77" s="634"/>
      <c r="AQ77" s="634"/>
      <c r="AR77" s="634"/>
      <c r="AS77" s="634"/>
      <c r="AT77" s="634"/>
      <c r="AU77" s="634"/>
      <c r="AV77" s="634"/>
      <c r="AW77" s="634"/>
      <c r="AX77" s="634"/>
      <c r="AY77" s="634"/>
      <c r="AZ77" s="634"/>
      <c r="BA77" s="634"/>
      <c r="BB77" s="634"/>
      <c r="BC77" s="634"/>
      <c r="BD77" s="634"/>
      <c r="BE77" s="634"/>
      <c r="BF77" s="634"/>
      <c r="BG77" s="634"/>
      <c r="BH77" s="634"/>
      <c r="BI77" s="634"/>
      <c r="BJ77" s="634"/>
      <c r="BK77" s="634"/>
      <c r="BL77" s="634"/>
      <c r="BM77" s="634"/>
      <c r="BN77" s="634"/>
      <c r="BO77" s="634"/>
      <c r="BP77" s="634"/>
      <c r="BQ77" s="352"/>
      <c r="BR77" s="361"/>
      <c r="CB77" s="352"/>
      <c r="CC77" s="352"/>
      <c r="CD77" s="352"/>
      <c r="CE77" s="352"/>
      <c r="CF77" s="352"/>
      <c r="CG77" s="352"/>
      <c r="CH77" s="352"/>
      <c r="CI77" s="352"/>
      <c r="CJ77" s="352"/>
      <c r="CK77" s="352"/>
      <c r="CL77" s="352"/>
      <c r="CM77" s="352"/>
      <c r="CN77" s="352"/>
      <c r="CO77" s="352"/>
      <c r="CP77" s="352"/>
      <c r="CQ77" s="352"/>
      <c r="CR77" s="352"/>
      <c r="CS77" s="352"/>
      <c r="CT77" s="352"/>
      <c r="CU77" s="352"/>
      <c r="CV77" s="352"/>
      <c r="CW77" s="352"/>
      <c r="CX77" s="352"/>
      <c r="CY77" s="352"/>
      <c r="CZ77" s="352"/>
      <c r="DB77" s="352"/>
      <c r="DC77" s="352"/>
      <c r="DD77" s="352"/>
      <c r="DE77" s="352"/>
      <c r="DF77" s="352"/>
      <c r="DG77" s="352"/>
      <c r="DH77" s="352"/>
      <c r="DI77" s="352"/>
      <c r="DJ77" s="352"/>
      <c r="DK77" s="352"/>
      <c r="DL77" s="352"/>
      <c r="DM77" s="352"/>
      <c r="DN77" s="352"/>
      <c r="DO77" s="352"/>
      <c r="DP77" s="352"/>
      <c r="DQ77" s="352"/>
      <c r="DR77" s="352"/>
      <c r="DS77" s="352"/>
      <c r="DT77" s="352"/>
      <c r="DU77" s="352"/>
    </row>
    <row r="78" spans="1:125" ht="6" customHeight="1">
      <c r="B78" s="645">
        <v>8</v>
      </c>
      <c r="C78" s="640"/>
      <c r="E78" s="638" t="s">
        <v>2980</v>
      </c>
      <c r="F78" s="638"/>
      <c r="G78" s="638"/>
      <c r="H78" s="638"/>
      <c r="I78" s="638"/>
      <c r="J78" s="638"/>
      <c r="K78" s="638"/>
      <c r="L78" s="638"/>
      <c r="M78" s="638"/>
      <c r="N78" s="638"/>
      <c r="O78" s="638"/>
      <c r="P78" s="638"/>
      <c r="Q78" s="638"/>
      <c r="R78" s="638"/>
      <c r="S78" s="345"/>
      <c r="T78" s="664"/>
      <c r="U78" s="663"/>
      <c r="V78" s="616"/>
      <c r="W78" s="616"/>
      <c r="X78" s="616"/>
      <c r="Y78" s="630"/>
      <c r="Z78" s="630"/>
      <c r="AA78" s="630"/>
      <c r="AB78" s="630"/>
      <c r="AC78" s="630"/>
      <c r="AD78" s="630"/>
      <c r="AE78" s="630"/>
      <c r="AF78" s="630"/>
      <c r="AG78" s="630"/>
      <c r="AH78" s="630"/>
      <c r="AI78" s="630"/>
      <c r="AJ78" s="352"/>
      <c r="AK78" s="352"/>
      <c r="AL78" s="630"/>
      <c r="AM78" s="630"/>
      <c r="AN78" s="630"/>
      <c r="AO78" s="630"/>
      <c r="AP78" s="634"/>
      <c r="AQ78" s="634"/>
      <c r="AR78" s="634"/>
      <c r="AS78" s="634"/>
      <c r="AT78" s="634"/>
      <c r="AU78" s="634"/>
      <c r="AV78" s="634"/>
      <c r="AW78" s="634"/>
      <c r="AX78" s="634"/>
      <c r="AY78" s="634"/>
      <c r="AZ78" s="634"/>
      <c r="BA78" s="634"/>
      <c r="BB78" s="634"/>
      <c r="BC78" s="634"/>
      <c r="BD78" s="634"/>
      <c r="BE78" s="634"/>
      <c r="BF78" s="634"/>
      <c r="BG78" s="634"/>
      <c r="BH78" s="634"/>
      <c r="BI78" s="634"/>
      <c r="BJ78" s="634"/>
      <c r="BK78" s="634"/>
      <c r="BL78" s="634"/>
      <c r="BM78" s="634"/>
      <c r="BN78" s="634"/>
      <c r="BO78" s="634"/>
      <c r="BP78" s="634"/>
      <c r="BQ78" s="352"/>
      <c r="BR78" s="361"/>
      <c r="CB78" s="352"/>
      <c r="CC78" s="352"/>
      <c r="CD78" s="352"/>
      <c r="CE78" s="352"/>
      <c r="CF78" s="352"/>
      <c r="CG78" s="352"/>
      <c r="CH78" s="352"/>
      <c r="CI78" s="352"/>
      <c r="CJ78" s="352"/>
      <c r="CK78" s="352"/>
      <c r="CL78" s="352"/>
      <c r="CM78" s="352"/>
      <c r="CN78" s="352"/>
      <c r="CO78" s="352"/>
      <c r="CP78" s="352"/>
      <c r="CQ78" s="352"/>
      <c r="CR78" s="352"/>
      <c r="CS78" s="352"/>
      <c r="CT78" s="352"/>
      <c r="CU78" s="352"/>
      <c r="CV78" s="352"/>
      <c r="CW78" s="352"/>
      <c r="CX78" s="352"/>
      <c r="CY78" s="352"/>
      <c r="CZ78" s="352"/>
      <c r="DB78" s="352"/>
      <c r="DC78" s="352"/>
      <c r="DD78" s="352"/>
      <c r="DE78" s="352"/>
      <c r="DF78" s="352"/>
      <c r="DG78" s="352"/>
      <c r="DH78" s="352"/>
      <c r="DI78" s="352"/>
      <c r="DJ78" s="352"/>
      <c r="DK78" s="352"/>
      <c r="DL78" s="352"/>
      <c r="DM78" s="352"/>
      <c r="DN78" s="352"/>
      <c r="DO78" s="352"/>
      <c r="DP78" s="352"/>
      <c r="DQ78" s="352"/>
      <c r="DR78" s="352"/>
      <c r="DS78" s="352"/>
      <c r="DT78" s="352"/>
      <c r="DU78" s="352"/>
    </row>
    <row r="79" spans="1:125" ht="6" customHeight="1">
      <c r="B79" s="645"/>
      <c r="C79" s="640"/>
      <c r="E79" s="638"/>
      <c r="F79" s="638"/>
      <c r="G79" s="638"/>
      <c r="H79" s="638"/>
      <c r="I79" s="638"/>
      <c r="J79" s="638"/>
      <c r="K79" s="638"/>
      <c r="L79" s="638"/>
      <c r="M79" s="638"/>
      <c r="N79" s="638"/>
      <c r="O79" s="638"/>
      <c r="P79" s="638"/>
      <c r="Q79" s="638"/>
      <c r="R79" s="638"/>
      <c r="S79" s="345"/>
      <c r="AQ79" s="347"/>
      <c r="AR79" s="347"/>
      <c r="AS79" s="347"/>
      <c r="AT79" s="347"/>
      <c r="AU79" s="347"/>
      <c r="AV79" s="347"/>
      <c r="AW79" s="347"/>
      <c r="BE79" s="347"/>
      <c r="BF79" s="347"/>
      <c r="BR79" s="345"/>
      <c r="CT79" s="347"/>
      <c r="CU79" s="347"/>
      <c r="CV79" s="347"/>
      <c r="CW79" s="347"/>
      <c r="CX79" s="347"/>
      <c r="CY79" s="347"/>
      <c r="CZ79" s="347"/>
      <c r="DI79" s="347"/>
      <c r="DJ79" s="347"/>
    </row>
    <row r="80" spans="1:125" ht="6" customHeight="1">
      <c r="B80" s="645"/>
      <c r="C80" s="640"/>
      <c r="E80" s="638"/>
      <c r="F80" s="638"/>
      <c r="G80" s="638"/>
      <c r="H80" s="638"/>
      <c r="I80" s="638"/>
      <c r="J80" s="638"/>
      <c r="K80" s="638"/>
      <c r="L80" s="638"/>
      <c r="M80" s="638"/>
      <c r="N80" s="638"/>
      <c r="O80" s="638"/>
      <c r="P80" s="638"/>
      <c r="Q80" s="638"/>
      <c r="R80" s="638"/>
      <c r="S80" s="345"/>
      <c r="T80" s="664"/>
      <c r="U80" s="663"/>
      <c r="V80" s="616" t="s">
        <v>55</v>
      </c>
      <c r="W80" s="616"/>
      <c r="X80" s="616"/>
      <c r="Y80" s="643" t="s">
        <v>2</v>
      </c>
      <c r="Z80" s="643"/>
      <c r="AA80" s="643"/>
      <c r="AB80" s="643"/>
      <c r="AC80" s="643"/>
      <c r="AD80" s="643"/>
      <c r="AE80" s="643"/>
      <c r="AF80" s="643"/>
      <c r="AL80" s="630" t="s">
        <v>2979</v>
      </c>
      <c r="AM80" s="630"/>
      <c r="AN80" s="630"/>
      <c r="AO80" s="630"/>
      <c r="AP80" s="630"/>
      <c r="AQ80" s="630"/>
      <c r="AR80" s="630"/>
      <c r="AS80" s="630"/>
      <c r="AT80" s="620" t="s">
        <v>2978</v>
      </c>
      <c r="AU80" s="620"/>
      <c r="AV80" s="634"/>
      <c r="AW80" s="634"/>
      <c r="AX80" s="634"/>
      <c r="AY80" s="634"/>
      <c r="AZ80" s="634"/>
      <c r="BA80" s="634"/>
      <c r="BB80" s="634"/>
      <c r="BC80" s="634"/>
      <c r="BD80" s="634"/>
      <c r="BE80" s="634"/>
      <c r="BF80" s="634"/>
      <c r="BG80" s="634"/>
      <c r="BH80" s="634"/>
      <c r="BI80" s="634"/>
      <c r="BJ80" s="634"/>
      <c r="BK80" s="634"/>
      <c r="BL80" s="634"/>
      <c r="BM80" s="634"/>
      <c r="BN80" s="634"/>
      <c r="BO80" s="634"/>
      <c r="BP80" s="634"/>
      <c r="BQ80" s="352"/>
      <c r="BR80" s="345"/>
      <c r="CB80" s="352"/>
      <c r="CC80" s="352"/>
      <c r="CD80" s="352"/>
      <c r="CE80" s="352"/>
      <c r="CF80" s="352"/>
      <c r="CG80" s="352"/>
      <c r="CH80" s="352"/>
      <c r="CI80" s="352"/>
      <c r="DB80" s="352"/>
      <c r="DC80" s="352"/>
      <c r="DD80" s="352"/>
      <c r="DE80" s="352"/>
      <c r="DF80" s="352"/>
      <c r="DG80" s="352"/>
      <c r="DH80" s="352"/>
      <c r="DI80" s="352"/>
      <c r="DJ80" s="352"/>
      <c r="DK80" s="352"/>
      <c r="DL80" s="352"/>
      <c r="DM80" s="352"/>
      <c r="DN80" s="352"/>
      <c r="DO80" s="352"/>
      <c r="DP80" s="352"/>
      <c r="DQ80" s="352"/>
      <c r="DR80" s="352"/>
      <c r="DS80" s="352"/>
      <c r="DT80" s="352"/>
      <c r="DU80" s="352"/>
    </row>
    <row r="81" spans="2:125" ht="6" customHeight="1">
      <c r="B81" s="355"/>
      <c r="I81" s="354"/>
      <c r="J81" s="354"/>
      <c r="K81" s="349"/>
      <c r="L81" s="349"/>
      <c r="M81" s="349"/>
      <c r="S81" s="345"/>
      <c r="T81" s="664"/>
      <c r="U81" s="663"/>
      <c r="V81" s="616"/>
      <c r="W81" s="616"/>
      <c r="X81" s="616"/>
      <c r="Y81" s="643"/>
      <c r="Z81" s="643"/>
      <c r="AA81" s="643"/>
      <c r="AB81" s="643"/>
      <c r="AC81" s="643"/>
      <c r="AD81" s="643"/>
      <c r="AE81" s="643"/>
      <c r="AF81" s="643"/>
      <c r="AL81" s="630"/>
      <c r="AM81" s="630"/>
      <c r="AN81" s="630"/>
      <c r="AO81" s="630"/>
      <c r="AP81" s="630"/>
      <c r="AQ81" s="630"/>
      <c r="AR81" s="630"/>
      <c r="AS81" s="630"/>
      <c r="AT81" s="620"/>
      <c r="AU81" s="620"/>
      <c r="AV81" s="634"/>
      <c r="AW81" s="634"/>
      <c r="AX81" s="634"/>
      <c r="AY81" s="634"/>
      <c r="AZ81" s="634"/>
      <c r="BA81" s="634"/>
      <c r="BB81" s="634"/>
      <c r="BC81" s="634"/>
      <c r="BD81" s="634"/>
      <c r="BE81" s="634"/>
      <c r="BF81" s="634"/>
      <c r="BG81" s="634"/>
      <c r="BH81" s="634"/>
      <c r="BI81" s="634"/>
      <c r="BJ81" s="634"/>
      <c r="BK81" s="634"/>
      <c r="BL81" s="634"/>
      <c r="BM81" s="634"/>
      <c r="BN81" s="634"/>
      <c r="BO81" s="634"/>
      <c r="BP81" s="634"/>
      <c r="BQ81" s="352"/>
      <c r="BR81" s="345"/>
      <c r="CB81" s="352"/>
      <c r="CC81" s="352"/>
      <c r="CD81" s="352"/>
      <c r="CE81" s="352"/>
      <c r="CF81" s="352"/>
      <c r="CG81" s="352"/>
      <c r="CH81" s="352"/>
      <c r="CI81" s="352"/>
      <c r="DB81" s="352"/>
      <c r="DC81" s="352"/>
      <c r="DD81" s="352"/>
      <c r="DE81" s="352"/>
      <c r="DF81" s="352"/>
      <c r="DG81" s="352"/>
      <c r="DH81" s="352"/>
      <c r="DI81" s="352"/>
      <c r="DJ81" s="352"/>
      <c r="DK81" s="352"/>
      <c r="DL81" s="352"/>
      <c r="DM81" s="352"/>
      <c r="DN81" s="352"/>
      <c r="DO81" s="352"/>
      <c r="DP81" s="352"/>
      <c r="DQ81" s="352"/>
      <c r="DR81" s="352"/>
      <c r="DS81" s="352"/>
      <c r="DT81" s="352"/>
      <c r="DU81" s="352"/>
    </row>
    <row r="82" spans="2:125" ht="6" customHeight="1">
      <c r="B82" s="355"/>
      <c r="I82" s="354"/>
      <c r="J82" s="354"/>
      <c r="K82" s="349"/>
      <c r="L82" s="349"/>
      <c r="M82" s="349"/>
      <c r="S82" s="345"/>
      <c r="V82" s="360"/>
      <c r="W82" s="360"/>
      <c r="X82" s="360"/>
      <c r="Y82" s="352"/>
      <c r="Z82" s="352"/>
      <c r="AA82" s="352"/>
      <c r="AB82" s="352"/>
      <c r="AC82" s="352"/>
      <c r="AD82" s="352"/>
      <c r="AE82" s="352"/>
      <c r="AF82" s="352"/>
      <c r="AL82" s="360"/>
      <c r="AM82" s="360"/>
      <c r="AN82" s="360"/>
      <c r="AO82" s="360"/>
      <c r="AP82" s="360"/>
      <c r="AQ82" s="360"/>
      <c r="AR82" s="360"/>
      <c r="AS82" s="360"/>
      <c r="AT82" s="360"/>
      <c r="AU82" s="360"/>
      <c r="AV82" s="360"/>
      <c r="AW82" s="360"/>
      <c r="AX82" s="360"/>
      <c r="AY82" s="360"/>
      <c r="AZ82" s="360"/>
      <c r="BA82" s="360"/>
      <c r="BB82" s="360"/>
      <c r="BC82" s="360"/>
      <c r="BD82" s="360"/>
      <c r="BE82" s="360"/>
      <c r="BF82" s="352"/>
      <c r="BG82" s="352"/>
      <c r="BH82" s="352"/>
      <c r="BI82" s="352"/>
      <c r="BJ82" s="352"/>
      <c r="BK82" s="352"/>
      <c r="BL82" s="352"/>
      <c r="BM82" s="352"/>
      <c r="BN82" s="352"/>
      <c r="BO82" s="352"/>
      <c r="BP82" s="352"/>
      <c r="BQ82" s="352"/>
      <c r="BR82" s="345"/>
      <c r="CB82" s="352"/>
      <c r="CC82" s="352"/>
      <c r="CD82" s="352"/>
      <c r="CE82" s="352"/>
      <c r="CF82" s="352"/>
      <c r="CG82" s="352"/>
      <c r="CH82" s="352"/>
      <c r="CI82" s="352"/>
      <c r="DB82" s="359"/>
      <c r="DC82" s="359"/>
      <c r="DD82" s="359"/>
      <c r="DE82" s="359"/>
      <c r="DF82" s="359"/>
      <c r="DG82" s="359"/>
      <c r="DH82" s="359"/>
      <c r="DI82" s="359"/>
      <c r="DJ82" s="359"/>
      <c r="DK82" s="359"/>
      <c r="DL82" s="359"/>
      <c r="DM82" s="359"/>
      <c r="DN82" s="359"/>
      <c r="DO82" s="359"/>
      <c r="DP82" s="359"/>
      <c r="DQ82" s="359"/>
      <c r="DR82" s="359"/>
      <c r="DS82" s="359"/>
      <c r="DT82" s="359"/>
      <c r="DU82" s="359"/>
    </row>
    <row r="83" spans="2:125" ht="6" customHeight="1">
      <c r="B83" s="355"/>
      <c r="I83" s="354"/>
      <c r="J83" s="354"/>
      <c r="K83" s="349"/>
      <c r="L83" s="349"/>
      <c r="M83" s="349"/>
      <c r="S83" s="345"/>
      <c r="V83" s="360"/>
      <c r="W83" s="360"/>
      <c r="X83" s="360"/>
      <c r="Y83" s="352"/>
      <c r="Z83" s="352"/>
      <c r="AA83" s="352"/>
      <c r="AB83" s="352"/>
      <c r="AC83" s="352"/>
      <c r="AD83" s="352"/>
      <c r="AE83" s="352"/>
      <c r="AF83" s="352"/>
      <c r="AL83" s="630" t="s">
        <v>2977</v>
      </c>
      <c r="AM83" s="630"/>
      <c r="AN83" s="630"/>
      <c r="AO83" s="630"/>
      <c r="AP83" s="630"/>
      <c r="AQ83" s="630"/>
      <c r="AR83" s="630"/>
      <c r="AS83" s="630"/>
      <c r="AT83" s="352"/>
      <c r="AU83" s="352"/>
      <c r="AV83" s="634"/>
      <c r="AW83" s="634"/>
      <c r="AX83" s="634"/>
      <c r="AY83" s="634"/>
      <c r="AZ83" s="634"/>
      <c r="BA83" s="634"/>
      <c r="BB83" s="634"/>
      <c r="BC83" s="634"/>
      <c r="BD83" s="634"/>
      <c r="BE83" s="634"/>
      <c r="BF83" s="634"/>
      <c r="BG83" s="634"/>
      <c r="BH83" s="634"/>
      <c r="BI83" s="634"/>
      <c r="BJ83" s="634"/>
      <c r="BK83" s="634"/>
      <c r="BL83" s="634"/>
      <c r="BM83" s="634"/>
      <c r="BN83" s="634"/>
      <c r="BO83" s="634"/>
      <c r="BP83" s="634"/>
      <c r="BQ83" s="352"/>
      <c r="BR83" s="345"/>
      <c r="CB83" s="352"/>
      <c r="CC83" s="352"/>
      <c r="CD83" s="352"/>
      <c r="CE83" s="352"/>
      <c r="CF83" s="352"/>
      <c r="CG83" s="352"/>
      <c r="CH83" s="352"/>
      <c r="CI83" s="352"/>
      <c r="DB83" s="359"/>
      <c r="DC83" s="359"/>
      <c r="DD83" s="359"/>
      <c r="DE83" s="359"/>
      <c r="DF83" s="359"/>
      <c r="DG83" s="359"/>
      <c r="DH83" s="359"/>
      <c r="DI83" s="359"/>
      <c r="DJ83" s="359"/>
      <c r="DK83" s="359"/>
      <c r="DL83" s="359"/>
      <c r="DM83" s="359"/>
      <c r="DN83" s="359"/>
      <c r="DO83" s="359"/>
      <c r="DP83" s="359"/>
      <c r="DQ83" s="359"/>
      <c r="DR83" s="359"/>
      <c r="DS83" s="359"/>
      <c r="DT83" s="359"/>
      <c r="DU83" s="359"/>
    </row>
    <row r="84" spans="2:125" ht="6" customHeight="1">
      <c r="B84" s="355"/>
      <c r="I84" s="354"/>
      <c r="J84" s="354"/>
      <c r="K84" s="349"/>
      <c r="L84" s="349"/>
      <c r="M84" s="349"/>
      <c r="S84" s="345"/>
      <c r="V84" s="360"/>
      <c r="W84" s="360"/>
      <c r="X84" s="360"/>
      <c r="Y84" s="352"/>
      <c r="Z84" s="352"/>
      <c r="AA84" s="352"/>
      <c r="AB84" s="352"/>
      <c r="AC84" s="352"/>
      <c r="AD84" s="352"/>
      <c r="AE84" s="352"/>
      <c r="AF84" s="352"/>
      <c r="AL84" s="630"/>
      <c r="AM84" s="630"/>
      <c r="AN84" s="630"/>
      <c r="AO84" s="630"/>
      <c r="AP84" s="630"/>
      <c r="AQ84" s="630"/>
      <c r="AR84" s="630"/>
      <c r="AS84" s="630"/>
      <c r="AT84" s="352"/>
      <c r="AU84" s="352"/>
      <c r="AV84" s="634"/>
      <c r="AW84" s="634"/>
      <c r="AX84" s="634"/>
      <c r="AY84" s="634"/>
      <c r="AZ84" s="634"/>
      <c r="BA84" s="634"/>
      <c r="BB84" s="634"/>
      <c r="BC84" s="634"/>
      <c r="BD84" s="634"/>
      <c r="BE84" s="634"/>
      <c r="BF84" s="634"/>
      <c r="BG84" s="634"/>
      <c r="BH84" s="634"/>
      <c r="BI84" s="634"/>
      <c r="BJ84" s="634"/>
      <c r="BK84" s="634"/>
      <c r="BL84" s="634"/>
      <c r="BM84" s="634"/>
      <c r="BN84" s="634"/>
      <c r="BO84" s="634"/>
      <c r="BP84" s="634"/>
      <c r="BQ84" s="352"/>
      <c r="BR84" s="345"/>
      <c r="CB84" s="352"/>
      <c r="CC84" s="352"/>
      <c r="CD84" s="352"/>
      <c r="CE84" s="352"/>
      <c r="CF84" s="352"/>
      <c r="CG84" s="352"/>
      <c r="CH84" s="352"/>
      <c r="CI84" s="352"/>
      <c r="DB84" s="359"/>
      <c r="DC84" s="359"/>
      <c r="DD84" s="359"/>
      <c r="DE84" s="359"/>
      <c r="DF84" s="359"/>
      <c r="DG84" s="359"/>
      <c r="DH84" s="359"/>
      <c r="DI84" s="359"/>
      <c r="DJ84" s="359"/>
      <c r="DK84" s="359"/>
      <c r="DL84" s="359"/>
      <c r="DM84" s="359"/>
      <c r="DN84" s="359"/>
      <c r="DO84" s="359"/>
      <c r="DP84" s="359"/>
      <c r="DQ84" s="359"/>
      <c r="DR84" s="359"/>
      <c r="DS84" s="359"/>
      <c r="DT84" s="359"/>
      <c r="DU84" s="359"/>
    </row>
    <row r="85" spans="2:125" ht="6" customHeight="1">
      <c r="B85" s="358"/>
      <c r="C85" s="341"/>
      <c r="D85" s="341"/>
      <c r="E85" s="341"/>
      <c r="F85" s="341"/>
      <c r="G85" s="341"/>
      <c r="H85" s="341"/>
      <c r="I85" s="357"/>
      <c r="J85" s="357"/>
      <c r="K85" s="356"/>
      <c r="L85" s="356"/>
      <c r="M85" s="356"/>
      <c r="N85" s="341"/>
      <c r="O85" s="341"/>
      <c r="P85" s="341"/>
      <c r="Q85" s="341"/>
      <c r="R85" s="341"/>
      <c r="S85" s="340"/>
      <c r="T85" s="341"/>
      <c r="U85" s="341"/>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1"/>
      <c r="AZ85" s="341"/>
      <c r="BA85" s="341"/>
      <c r="BB85" s="341"/>
      <c r="BC85" s="341"/>
      <c r="BD85" s="341"/>
      <c r="BE85" s="341"/>
      <c r="BF85" s="341"/>
      <c r="BG85" s="341"/>
      <c r="BH85" s="341"/>
      <c r="BI85" s="341"/>
      <c r="BJ85" s="341"/>
      <c r="BK85" s="341"/>
      <c r="BL85" s="341"/>
      <c r="BM85" s="341"/>
      <c r="BN85" s="341"/>
      <c r="BO85" s="341"/>
      <c r="BP85" s="341"/>
      <c r="BQ85" s="341"/>
      <c r="BR85" s="340"/>
    </row>
    <row r="86" spans="2:125" ht="6" customHeight="1">
      <c r="B86" s="645">
        <v>9</v>
      </c>
      <c r="C86" s="640"/>
      <c r="E86" s="638" t="s">
        <v>2976</v>
      </c>
      <c r="F86" s="638"/>
      <c r="G86" s="638"/>
      <c r="H86" s="638"/>
      <c r="I86" s="638"/>
      <c r="J86" s="638"/>
      <c r="K86" s="638"/>
      <c r="L86" s="638"/>
      <c r="M86" s="638"/>
      <c r="N86" s="638"/>
      <c r="O86" s="638"/>
      <c r="P86" s="638"/>
      <c r="Q86" s="638"/>
      <c r="R86" s="638"/>
      <c r="S86" s="345"/>
      <c r="AA86" s="666"/>
      <c r="AB86" s="666"/>
      <c r="AC86" s="666"/>
      <c r="AD86" s="666"/>
      <c r="AE86" s="666"/>
      <c r="AF86" s="666"/>
      <c r="AG86" s="666"/>
      <c r="AI86" s="643" t="s">
        <v>2975</v>
      </c>
      <c r="AJ86" s="643"/>
      <c r="AK86" s="643"/>
      <c r="AL86" s="643"/>
      <c r="AM86" s="643"/>
      <c r="AN86" s="643"/>
      <c r="BR86" s="345"/>
    </row>
    <row r="87" spans="2:125" ht="6" customHeight="1">
      <c r="B87" s="645"/>
      <c r="C87" s="640"/>
      <c r="E87" s="638"/>
      <c r="F87" s="638"/>
      <c r="G87" s="638"/>
      <c r="H87" s="638"/>
      <c r="I87" s="638"/>
      <c r="J87" s="638"/>
      <c r="K87" s="638"/>
      <c r="L87" s="638"/>
      <c r="M87" s="638"/>
      <c r="N87" s="638"/>
      <c r="O87" s="638"/>
      <c r="P87" s="638"/>
      <c r="Q87" s="638"/>
      <c r="R87" s="638"/>
      <c r="S87" s="345"/>
      <c r="AA87" s="666"/>
      <c r="AB87" s="666"/>
      <c r="AC87" s="666"/>
      <c r="AD87" s="666"/>
      <c r="AE87" s="666"/>
      <c r="AF87" s="666"/>
      <c r="AG87" s="666"/>
      <c r="AI87" s="643"/>
      <c r="AJ87" s="643"/>
      <c r="AK87" s="643"/>
      <c r="AL87" s="643"/>
      <c r="AM87" s="643"/>
      <c r="AN87" s="643"/>
      <c r="BR87" s="345"/>
    </row>
    <row r="88" spans="2:125" ht="6" customHeight="1">
      <c r="B88" s="645"/>
      <c r="C88" s="640"/>
      <c r="E88" s="638"/>
      <c r="F88" s="638"/>
      <c r="G88" s="638"/>
      <c r="H88" s="638"/>
      <c r="I88" s="638"/>
      <c r="J88" s="638"/>
      <c r="K88" s="638"/>
      <c r="L88" s="638"/>
      <c r="M88" s="638"/>
      <c r="N88" s="638"/>
      <c r="O88" s="638"/>
      <c r="P88" s="638"/>
      <c r="Q88" s="638"/>
      <c r="R88" s="638"/>
      <c r="S88" s="345"/>
      <c r="AA88" s="666"/>
      <c r="AB88" s="666"/>
      <c r="AC88" s="666"/>
      <c r="AD88" s="666"/>
      <c r="AE88" s="666"/>
      <c r="AF88" s="666"/>
      <c r="AG88" s="666"/>
      <c r="AI88" s="643"/>
      <c r="AJ88" s="643"/>
      <c r="AK88" s="643"/>
      <c r="AL88" s="643"/>
      <c r="AM88" s="643"/>
      <c r="AN88" s="643"/>
      <c r="BR88" s="345"/>
    </row>
    <row r="89" spans="2:125" ht="6" customHeight="1">
      <c r="B89" s="645"/>
      <c r="C89" s="640"/>
      <c r="E89" s="638"/>
      <c r="F89" s="638"/>
      <c r="G89" s="638"/>
      <c r="H89" s="638"/>
      <c r="I89" s="638"/>
      <c r="J89" s="638"/>
      <c r="K89" s="638"/>
      <c r="L89" s="638"/>
      <c r="M89" s="638"/>
      <c r="N89" s="638"/>
      <c r="O89" s="638"/>
      <c r="P89" s="638"/>
      <c r="Q89" s="638"/>
      <c r="R89" s="638"/>
      <c r="S89" s="345"/>
      <c r="AA89" s="666"/>
      <c r="AB89" s="666"/>
      <c r="AC89" s="666"/>
      <c r="AD89" s="666"/>
      <c r="AE89" s="666"/>
      <c r="AF89" s="666"/>
      <c r="AG89" s="666"/>
      <c r="AI89" s="643"/>
      <c r="AJ89" s="643"/>
      <c r="AK89" s="643"/>
      <c r="AL89" s="643"/>
      <c r="AM89" s="643"/>
      <c r="AN89" s="643"/>
      <c r="BR89" s="345"/>
    </row>
    <row r="90" spans="2:125" ht="6" customHeight="1">
      <c r="B90" s="665"/>
      <c r="C90" s="641"/>
      <c r="D90" s="341"/>
      <c r="E90" s="639"/>
      <c r="F90" s="639"/>
      <c r="G90" s="639"/>
      <c r="H90" s="639"/>
      <c r="I90" s="639"/>
      <c r="J90" s="639"/>
      <c r="K90" s="639"/>
      <c r="L90" s="639"/>
      <c r="M90" s="639"/>
      <c r="N90" s="639"/>
      <c r="O90" s="639"/>
      <c r="P90" s="639"/>
      <c r="Q90" s="639"/>
      <c r="R90" s="639"/>
      <c r="S90" s="340"/>
      <c r="T90" s="341"/>
      <c r="U90" s="341"/>
      <c r="V90" s="341"/>
      <c r="W90" s="341"/>
      <c r="X90" s="341"/>
      <c r="Y90" s="341"/>
      <c r="Z90" s="341"/>
      <c r="AA90" s="667"/>
      <c r="AB90" s="667"/>
      <c r="AC90" s="667"/>
      <c r="AD90" s="667"/>
      <c r="AE90" s="667"/>
      <c r="AF90" s="667"/>
      <c r="AG90" s="667"/>
      <c r="AH90" s="341"/>
      <c r="AI90" s="668"/>
      <c r="AJ90" s="668"/>
      <c r="AK90" s="668"/>
      <c r="AL90" s="668"/>
      <c r="AM90" s="668"/>
      <c r="AN90" s="668"/>
      <c r="AO90" s="341"/>
      <c r="AP90" s="341"/>
      <c r="AQ90" s="341"/>
      <c r="AR90" s="341"/>
      <c r="AS90" s="341"/>
      <c r="AT90" s="341"/>
      <c r="AU90" s="341"/>
      <c r="AV90" s="341"/>
      <c r="AW90" s="341"/>
      <c r="AX90" s="341"/>
      <c r="AY90" s="341"/>
      <c r="AZ90" s="341"/>
      <c r="BA90" s="341"/>
      <c r="BB90" s="341"/>
      <c r="BC90" s="341"/>
      <c r="BD90" s="341"/>
      <c r="BE90" s="341"/>
      <c r="BF90" s="341"/>
      <c r="BG90" s="341"/>
      <c r="BH90" s="341"/>
      <c r="BI90" s="341"/>
      <c r="BJ90" s="341"/>
      <c r="BK90" s="341"/>
      <c r="BL90" s="341"/>
      <c r="BM90" s="341"/>
      <c r="BN90" s="341"/>
      <c r="BO90" s="341"/>
      <c r="BP90" s="341"/>
      <c r="BQ90" s="341"/>
      <c r="BR90" s="340"/>
    </row>
    <row r="91" spans="2:125" ht="6" customHeight="1">
      <c r="B91" s="355">
        <v>10</v>
      </c>
      <c r="S91" s="345"/>
      <c r="BR91" s="345"/>
    </row>
    <row r="92" spans="2:125" ht="6" customHeight="1">
      <c r="B92" s="355"/>
      <c r="I92" s="354"/>
      <c r="J92" s="354"/>
      <c r="K92" s="354"/>
      <c r="S92" s="345"/>
      <c r="T92" s="353"/>
      <c r="U92" s="352"/>
      <c r="V92" s="616" t="s">
        <v>53</v>
      </c>
      <c r="W92" s="616"/>
      <c r="X92" s="616"/>
      <c r="Y92" s="643" t="s">
        <v>2974</v>
      </c>
      <c r="Z92" s="643"/>
      <c r="AA92" s="643"/>
      <c r="AB92" s="643"/>
      <c r="AC92" s="643"/>
      <c r="AD92" s="643"/>
      <c r="AE92" s="643"/>
      <c r="AF92" s="643"/>
      <c r="AG92" s="643"/>
      <c r="AH92" s="643"/>
      <c r="AI92" s="643"/>
      <c r="AJ92" s="643"/>
      <c r="AK92" s="643"/>
      <c r="AL92" s="643"/>
      <c r="AM92" s="643"/>
      <c r="AN92" s="643"/>
      <c r="AO92" s="643"/>
      <c r="AP92" s="643"/>
      <c r="AQ92" s="643"/>
      <c r="AR92" s="643"/>
      <c r="AS92" s="643"/>
      <c r="AT92" s="643"/>
      <c r="AU92" s="643"/>
      <c r="AV92" s="643"/>
      <c r="AW92" s="643"/>
      <c r="AX92" s="643"/>
      <c r="AY92" s="643"/>
      <c r="AZ92" s="643"/>
      <c r="BA92" s="643"/>
      <c r="BB92" s="643"/>
      <c r="BC92" s="643"/>
      <c r="BR92" s="345"/>
    </row>
    <row r="93" spans="2:125" ht="6" customHeight="1">
      <c r="B93" s="355"/>
      <c r="I93" s="354"/>
      <c r="J93" s="354"/>
      <c r="K93" s="354"/>
      <c r="S93" s="345"/>
      <c r="T93" s="353"/>
      <c r="U93" s="352"/>
      <c r="V93" s="616"/>
      <c r="W93" s="616"/>
      <c r="X93" s="616"/>
      <c r="Y93" s="643"/>
      <c r="Z93" s="643"/>
      <c r="AA93" s="643"/>
      <c r="AB93" s="643"/>
      <c r="AC93" s="643"/>
      <c r="AD93" s="643"/>
      <c r="AE93" s="643"/>
      <c r="AF93" s="643"/>
      <c r="AG93" s="643"/>
      <c r="AH93" s="643"/>
      <c r="AI93" s="643"/>
      <c r="AJ93" s="643"/>
      <c r="AK93" s="643"/>
      <c r="AL93" s="643"/>
      <c r="AM93" s="643"/>
      <c r="AN93" s="643"/>
      <c r="AO93" s="643"/>
      <c r="AP93" s="643"/>
      <c r="AQ93" s="643"/>
      <c r="AR93" s="643"/>
      <c r="AS93" s="643"/>
      <c r="AT93" s="643"/>
      <c r="AU93" s="643"/>
      <c r="AV93" s="643"/>
      <c r="AW93" s="643"/>
      <c r="AX93" s="643"/>
      <c r="AY93" s="643"/>
      <c r="AZ93" s="643"/>
      <c r="BA93" s="643"/>
      <c r="BB93" s="643"/>
      <c r="BC93" s="643"/>
      <c r="BR93" s="345"/>
    </row>
    <row r="94" spans="2:125" ht="6" customHeight="1">
      <c r="B94" s="355"/>
      <c r="S94" s="345"/>
      <c r="T94" s="352"/>
      <c r="U94" s="352"/>
      <c r="Y94" s="616" t="s">
        <v>2973</v>
      </c>
      <c r="Z94" s="616"/>
      <c r="AA94" s="616"/>
      <c r="AB94" s="666"/>
      <c r="AC94" s="666"/>
      <c r="AD94" s="666"/>
      <c r="AE94" s="666"/>
      <c r="AF94" s="666"/>
      <c r="AG94" s="616" t="s">
        <v>2972</v>
      </c>
      <c r="AH94" s="616"/>
      <c r="AI94" s="616"/>
      <c r="AJ94" s="616"/>
      <c r="AK94" s="666"/>
      <c r="AL94" s="666"/>
      <c r="AM94" s="666"/>
      <c r="AN94" s="666"/>
      <c r="AO94" s="666"/>
      <c r="AP94" s="616" t="s">
        <v>4</v>
      </c>
      <c r="AQ94" s="616"/>
      <c r="AR94" s="349"/>
      <c r="AS94" s="349"/>
      <c r="AT94" s="349"/>
      <c r="AU94" s="349"/>
      <c r="AV94" s="349"/>
      <c r="AW94" s="349"/>
      <c r="AX94" s="349"/>
      <c r="AY94" s="349"/>
      <c r="AZ94" s="349"/>
      <c r="BR94" s="345"/>
    </row>
    <row r="95" spans="2:125" ht="6" customHeight="1">
      <c r="B95" s="669">
        <v>10</v>
      </c>
      <c r="C95" s="655"/>
      <c r="D95" s="655"/>
      <c r="E95" s="643" t="s">
        <v>2971</v>
      </c>
      <c r="F95" s="643"/>
      <c r="G95" s="643"/>
      <c r="H95" s="643"/>
      <c r="I95" s="643"/>
      <c r="J95" s="643"/>
      <c r="K95" s="643"/>
      <c r="L95" s="643"/>
      <c r="M95" s="643"/>
      <c r="N95" s="643"/>
      <c r="O95" s="643"/>
      <c r="P95" s="643"/>
      <c r="Q95" s="643"/>
      <c r="R95" s="643"/>
      <c r="S95" s="646"/>
      <c r="T95" s="348"/>
      <c r="Y95" s="616"/>
      <c r="Z95" s="616"/>
      <c r="AA95" s="616"/>
      <c r="AB95" s="666"/>
      <c r="AC95" s="666"/>
      <c r="AD95" s="666"/>
      <c r="AE95" s="666"/>
      <c r="AF95" s="666"/>
      <c r="AG95" s="616"/>
      <c r="AH95" s="616"/>
      <c r="AI95" s="616"/>
      <c r="AJ95" s="616"/>
      <c r="AK95" s="666"/>
      <c r="AL95" s="666"/>
      <c r="AM95" s="666"/>
      <c r="AN95" s="666"/>
      <c r="AO95" s="666"/>
      <c r="AP95" s="616"/>
      <c r="AQ95" s="616"/>
      <c r="AR95" s="349"/>
      <c r="AS95" s="349"/>
      <c r="AT95" s="349"/>
      <c r="AU95" s="349"/>
      <c r="AV95" s="349"/>
      <c r="AW95" s="349"/>
      <c r="AX95" s="349"/>
      <c r="AY95" s="349"/>
      <c r="AZ95" s="349"/>
      <c r="BR95" s="345"/>
    </row>
    <row r="96" spans="2:125" ht="6" customHeight="1">
      <c r="B96" s="669"/>
      <c r="C96" s="655"/>
      <c r="D96" s="655"/>
      <c r="E96" s="643"/>
      <c r="F96" s="643"/>
      <c r="G96" s="643"/>
      <c r="H96" s="643"/>
      <c r="I96" s="643"/>
      <c r="J96" s="643"/>
      <c r="K96" s="643"/>
      <c r="L96" s="643"/>
      <c r="M96" s="643"/>
      <c r="N96" s="643"/>
      <c r="O96" s="643"/>
      <c r="P96" s="643"/>
      <c r="Q96" s="643"/>
      <c r="R96" s="643"/>
      <c r="S96" s="646"/>
      <c r="AL96" s="349"/>
      <c r="AM96" s="349"/>
      <c r="AN96" s="349"/>
      <c r="AO96" s="349"/>
      <c r="AP96" s="349"/>
      <c r="AQ96" s="349"/>
      <c r="AR96" s="349"/>
      <c r="AS96" s="349"/>
      <c r="AT96" s="349"/>
      <c r="AU96" s="349"/>
      <c r="AV96" s="349"/>
      <c r="AW96" s="349"/>
      <c r="AX96" s="349"/>
      <c r="AY96" s="349"/>
      <c r="AZ96" s="349"/>
      <c r="BR96" s="345"/>
    </row>
    <row r="97" spans="2:70" ht="6" customHeight="1">
      <c r="B97" s="669"/>
      <c r="C97" s="655"/>
      <c r="D97" s="655"/>
      <c r="E97" s="643"/>
      <c r="F97" s="643"/>
      <c r="G97" s="643"/>
      <c r="H97" s="643"/>
      <c r="I97" s="643"/>
      <c r="J97" s="643"/>
      <c r="K97" s="643"/>
      <c r="L97" s="643"/>
      <c r="M97" s="643"/>
      <c r="N97" s="643"/>
      <c r="O97" s="643"/>
      <c r="P97" s="643"/>
      <c r="Q97" s="643"/>
      <c r="R97" s="643"/>
      <c r="S97" s="646"/>
      <c r="T97" s="353"/>
      <c r="U97" s="352"/>
      <c r="V97" s="616" t="s">
        <v>55</v>
      </c>
      <c r="W97" s="616"/>
      <c r="X97" s="616"/>
      <c r="Y97" s="643" t="s">
        <v>2970</v>
      </c>
      <c r="Z97" s="643"/>
      <c r="AA97" s="643"/>
      <c r="AB97" s="643"/>
      <c r="AC97" s="643"/>
      <c r="AD97" s="643"/>
      <c r="AE97" s="643"/>
      <c r="AF97" s="643"/>
      <c r="AG97" s="643"/>
      <c r="BR97" s="345"/>
    </row>
    <row r="98" spans="2:70" ht="6" customHeight="1">
      <c r="B98" s="355"/>
      <c r="I98" s="354"/>
      <c r="J98" s="354"/>
      <c r="K98" s="354"/>
      <c r="S98" s="345"/>
      <c r="T98" s="353"/>
      <c r="U98" s="352"/>
      <c r="V98" s="616"/>
      <c r="W98" s="616"/>
      <c r="X98" s="616"/>
      <c r="Y98" s="643"/>
      <c r="Z98" s="643"/>
      <c r="AA98" s="643"/>
      <c r="AB98" s="643"/>
      <c r="AC98" s="643"/>
      <c r="AD98" s="643"/>
      <c r="AE98" s="643"/>
      <c r="AF98" s="643"/>
      <c r="AG98" s="643"/>
      <c r="BR98" s="345"/>
    </row>
    <row r="99" spans="2:70" ht="6" customHeight="1">
      <c r="B99" s="348"/>
      <c r="S99" s="345"/>
      <c r="Y99" s="640" t="s">
        <v>3</v>
      </c>
      <c r="Z99" s="640"/>
      <c r="AA99" s="634"/>
      <c r="AB99" s="634"/>
      <c r="AC99" s="634"/>
      <c r="AD99" s="634"/>
      <c r="AE99" s="634"/>
      <c r="AF99" s="634"/>
      <c r="AG99" s="634"/>
      <c r="AH99" s="634"/>
      <c r="AI99" s="634"/>
      <c r="AJ99" s="634"/>
      <c r="AK99" s="634"/>
      <c r="AL99" s="634"/>
      <c r="AM99" s="634"/>
      <c r="AN99" s="634"/>
      <c r="AO99" s="634"/>
      <c r="AP99" s="634"/>
      <c r="AQ99" s="634"/>
      <c r="AR99" s="634"/>
      <c r="AS99" s="634"/>
      <c r="AT99" s="634"/>
      <c r="AU99" s="634"/>
      <c r="AV99" s="634"/>
      <c r="AW99" s="634"/>
      <c r="AX99" s="634"/>
      <c r="AY99" s="634"/>
      <c r="AZ99" s="634"/>
      <c r="BA99" s="634"/>
      <c r="BB99" s="634"/>
      <c r="BC99" s="634"/>
      <c r="BD99" s="634"/>
      <c r="BE99" s="634"/>
      <c r="BF99" s="634"/>
      <c r="BG99" s="634"/>
      <c r="BH99" s="634"/>
      <c r="BI99" s="634"/>
      <c r="BJ99" s="634"/>
      <c r="BK99" s="634"/>
      <c r="BL99" s="634"/>
      <c r="BM99" s="634"/>
      <c r="BN99" s="634"/>
      <c r="BO99" s="634"/>
      <c r="BP99" s="640" t="s">
        <v>4</v>
      </c>
      <c r="BQ99" s="640"/>
      <c r="BR99" s="345"/>
    </row>
    <row r="100" spans="2:70" ht="6" customHeight="1">
      <c r="B100" s="348"/>
      <c r="S100" s="345"/>
      <c r="Y100" s="640"/>
      <c r="Z100" s="640"/>
      <c r="AA100" s="634"/>
      <c r="AB100" s="634"/>
      <c r="AC100" s="634"/>
      <c r="AD100" s="634"/>
      <c r="AE100" s="634"/>
      <c r="AF100" s="634"/>
      <c r="AG100" s="634"/>
      <c r="AH100" s="634"/>
      <c r="AI100" s="634"/>
      <c r="AJ100" s="634"/>
      <c r="AK100" s="634"/>
      <c r="AL100" s="634"/>
      <c r="AM100" s="634"/>
      <c r="AN100" s="634"/>
      <c r="AO100" s="634"/>
      <c r="AP100" s="634"/>
      <c r="AQ100" s="634"/>
      <c r="AR100" s="634"/>
      <c r="AS100" s="634"/>
      <c r="AT100" s="634"/>
      <c r="AU100" s="634"/>
      <c r="AV100" s="634"/>
      <c r="AW100" s="634"/>
      <c r="AX100" s="634"/>
      <c r="AY100" s="634"/>
      <c r="AZ100" s="634"/>
      <c r="BA100" s="634"/>
      <c r="BB100" s="634"/>
      <c r="BC100" s="634"/>
      <c r="BD100" s="634"/>
      <c r="BE100" s="634"/>
      <c r="BF100" s="634"/>
      <c r="BG100" s="634"/>
      <c r="BH100" s="634"/>
      <c r="BI100" s="634"/>
      <c r="BJ100" s="634"/>
      <c r="BK100" s="634"/>
      <c r="BL100" s="634"/>
      <c r="BM100" s="634"/>
      <c r="BN100" s="634"/>
      <c r="BO100" s="634"/>
      <c r="BP100" s="640"/>
      <c r="BQ100" s="640"/>
      <c r="BR100" s="345"/>
    </row>
    <row r="101" spans="2:70" ht="6" customHeight="1">
      <c r="B101" s="344"/>
      <c r="C101" s="341"/>
      <c r="D101" s="341"/>
      <c r="E101" s="341"/>
      <c r="F101" s="341"/>
      <c r="G101" s="341"/>
      <c r="H101" s="341"/>
      <c r="I101" s="341"/>
      <c r="J101" s="341"/>
      <c r="K101" s="341"/>
      <c r="L101" s="341"/>
      <c r="M101" s="341"/>
      <c r="N101" s="341"/>
      <c r="O101" s="341"/>
      <c r="P101" s="341"/>
      <c r="Q101" s="341"/>
      <c r="R101" s="341"/>
      <c r="S101" s="340"/>
      <c r="T101" s="341"/>
      <c r="U101" s="341"/>
      <c r="V101" s="341"/>
      <c r="W101" s="341"/>
      <c r="X101" s="343"/>
      <c r="Y101" s="343"/>
      <c r="Z101" s="343"/>
      <c r="AA101" s="343"/>
      <c r="AB101" s="343"/>
      <c r="AC101" s="343"/>
      <c r="AD101" s="343"/>
      <c r="AE101" s="343"/>
      <c r="AF101" s="343"/>
      <c r="AG101" s="343"/>
      <c r="AH101" s="343"/>
      <c r="AI101" s="343"/>
      <c r="AJ101" s="343"/>
      <c r="AK101" s="343"/>
      <c r="AL101" s="343"/>
      <c r="AM101" s="343"/>
      <c r="AN101" s="343"/>
      <c r="AO101" s="343"/>
      <c r="AP101" s="343"/>
      <c r="AQ101" s="343"/>
      <c r="AR101" s="343"/>
      <c r="AS101" s="343"/>
      <c r="AT101" s="343"/>
      <c r="AU101" s="343"/>
      <c r="AV101" s="343"/>
      <c r="AW101" s="343"/>
      <c r="AX101" s="343"/>
      <c r="AY101" s="343"/>
      <c r="AZ101" s="343"/>
      <c r="BA101" s="343"/>
      <c r="BB101" s="343"/>
      <c r="BC101" s="343"/>
      <c r="BD101" s="343"/>
      <c r="BE101" s="343"/>
      <c r="BF101" s="343"/>
      <c r="BG101" s="343"/>
      <c r="BH101" s="341"/>
      <c r="BI101" s="341"/>
      <c r="BJ101" s="341"/>
      <c r="BK101" s="341"/>
      <c r="BL101" s="341"/>
      <c r="BM101" s="341"/>
      <c r="BN101" s="341"/>
      <c r="BO101" s="341"/>
      <c r="BP101" s="341"/>
      <c r="BQ101" s="341"/>
      <c r="BR101" s="340"/>
    </row>
    <row r="102" spans="2:70" ht="6" customHeight="1">
      <c r="B102" s="348"/>
      <c r="S102" s="345"/>
      <c r="T102" s="670" t="s">
        <v>2969</v>
      </c>
      <c r="U102" s="638"/>
      <c r="V102" s="638"/>
      <c r="W102" s="638"/>
      <c r="X102" s="638"/>
      <c r="Y102" s="638"/>
      <c r="Z102" s="345"/>
      <c r="AA102" s="347"/>
      <c r="AB102" s="616" t="s">
        <v>2968</v>
      </c>
      <c r="AC102" s="616"/>
      <c r="AD102" s="616"/>
      <c r="AE102" s="616"/>
      <c r="AG102" s="642"/>
      <c r="AH102" s="642"/>
      <c r="AI102" s="642"/>
      <c r="AJ102" s="642"/>
      <c r="AK102" s="642"/>
      <c r="AL102" s="642"/>
      <c r="AM102" s="642"/>
      <c r="AN102" s="616" t="s">
        <v>2967</v>
      </c>
      <c r="AO102" s="616"/>
      <c r="AP102" s="616"/>
      <c r="AQ102" s="616"/>
      <c r="AR102" s="346"/>
      <c r="AS102" s="347"/>
      <c r="AT102" s="638" t="s">
        <v>2966</v>
      </c>
      <c r="AU102" s="638"/>
      <c r="AV102" s="638"/>
      <c r="AW102" s="638"/>
      <c r="AX102" s="638"/>
      <c r="AY102" s="638"/>
      <c r="AZ102" s="346"/>
      <c r="BA102" s="347"/>
      <c r="BB102" s="673"/>
      <c r="BC102" s="673"/>
      <c r="BD102" s="673"/>
      <c r="BE102" s="673"/>
      <c r="BF102" s="673"/>
      <c r="BG102" s="673"/>
      <c r="BH102" s="673"/>
      <c r="BI102" s="673"/>
      <c r="BM102" s="616" t="s">
        <v>2965</v>
      </c>
      <c r="BN102" s="616"/>
      <c r="BO102" s="616"/>
      <c r="BP102" s="616"/>
      <c r="BQ102" s="616"/>
      <c r="BR102" s="345"/>
    </row>
    <row r="103" spans="2:70" ht="6" customHeight="1">
      <c r="B103" s="348"/>
      <c r="S103" s="345"/>
      <c r="T103" s="670"/>
      <c r="U103" s="638"/>
      <c r="V103" s="638"/>
      <c r="W103" s="638"/>
      <c r="X103" s="638"/>
      <c r="Y103" s="638"/>
      <c r="Z103" s="345"/>
      <c r="AA103" s="347"/>
      <c r="AB103" s="616"/>
      <c r="AC103" s="616"/>
      <c r="AD103" s="616"/>
      <c r="AE103" s="616"/>
      <c r="AG103" s="642"/>
      <c r="AH103" s="642"/>
      <c r="AI103" s="642"/>
      <c r="AJ103" s="642"/>
      <c r="AK103" s="642"/>
      <c r="AL103" s="642"/>
      <c r="AM103" s="642"/>
      <c r="AN103" s="616"/>
      <c r="AO103" s="616"/>
      <c r="AP103" s="616"/>
      <c r="AQ103" s="616"/>
      <c r="AR103" s="346"/>
      <c r="AS103" s="347"/>
      <c r="AT103" s="638"/>
      <c r="AU103" s="638"/>
      <c r="AV103" s="638"/>
      <c r="AW103" s="638"/>
      <c r="AX103" s="638"/>
      <c r="AY103" s="638"/>
      <c r="AZ103" s="346"/>
      <c r="BA103" s="347"/>
      <c r="BB103" s="673"/>
      <c r="BC103" s="673"/>
      <c r="BD103" s="673"/>
      <c r="BE103" s="673"/>
      <c r="BF103" s="673"/>
      <c r="BG103" s="673"/>
      <c r="BH103" s="673"/>
      <c r="BI103" s="673"/>
      <c r="BM103" s="616"/>
      <c r="BN103" s="616"/>
      <c r="BO103" s="616"/>
      <c r="BP103" s="616"/>
      <c r="BQ103" s="616"/>
      <c r="BR103" s="345"/>
    </row>
    <row r="104" spans="2:70" ht="6" customHeight="1">
      <c r="B104" s="348"/>
      <c r="S104" s="345"/>
      <c r="T104" s="670"/>
      <c r="U104" s="638"/>
      <c r="V104" s="638"/>
      <c r="W104" s="638"/>
      <c r="X104" s="638"/>
      <c r="Y104" s="638"/>
      <c r="Z104" s="345"/>
      <c r="AA104" s="347"/>
      <c r="AB104" s="616"/>
      <c r="AC104" s="616"/>
      <c r="AD104" s="616"/>
      <c r="AE104" s="616"/>
      <c r="AG104" s="642"/>
      <c r="AH104" s="642"/>
      <c r="AI104" s="642"/>
      <c r="AJ104" s="642"/>
      <c r="AK104" s="642"/>
      <c r="AL104" s="642"/>
      <c r="AM104" s="642"/>
      <c r="AN104" s="616"/>
      <c r="AO104" s="616"/>
      <c r="AP104" s="616"/>
      <c r="AQ104" s="616"/>
      <c r="AR104" s="346"/>
      <c r="AS104" s="347"/>
      <c r="AT104" s="638"/>
      <c r="AU104" s="638"/>
      <c r="AV104" s="638"/>
      <c r="AW104" s="638"/>
      <c r="AX104" s="638"/>
      <c r="AY104" s="638"/>
      <c r="AZ104" s="346"/>
      <c r="BA104" s="347"/>
      <c r="BB104" s="673"/>
      <c r="BC104" s="673"/>
      <c r="BD104" s="673"/>
      <c r="BE104" s="673"/>
      <c r="BF104" s="673"/>
      <c r="BG104" s="673"/>
      <c r="BH104" s="673"/>
      <c r="BI104" s="673"/>
      <c r="BM104" s="616"/>
      <c r="BN104" s="616"/>
      <c r="BO104" s="616"/>
      <c r="BP104" s="616"/>
      <c r="BQ104" s="616"/>
      <c r="BR104" s="345"/>
    </row>
    <row r="105" spans="2:70" ht="6" customHeight="1">
      <c r="B105" s="348"/>
      <c r="S105" s="345"/>
      <c r="T105" s="670"/>
      <c r="U105" s="638"/>
      <c r="V105" s="638"/>
      <c r="W105" s="638"/>
      <c r="X105" s="638"/>
      <c r="Y105" s="638"/>
      <c r="Z105" s="345"/>
      <c r="AA105" s="347"/>
      <c r="AB105" s="616"/>
      <c r="AC105" s="616"/>
      <c r="AD105" s="616"/>
      <c r="AE105" s="616"/>
      <c r="AG105" s="642"/>
      <c r="AH105" s="642"/>
      <c r="AI105" s="642"/>
      <c r="AJ105" s="642"/>
      <c r="AK105" s="642"/>
      <c r="AL105" s="642"/>
      <c r="AM105" s="642"/>
      <c r="AN105" s="616"/>
      <c r="AO105" s="616"/>
      <c r="AP105" s="616"/>
      <c r="AQ105" s="616"/>
      <c r="AR105" s="346"/>
      <c r="AS105" s="347"/>
      <c r="AT105" s="638"/>
      <c r="AU105" s="638"/>
      <c r="AV105" s="638"/>
      <c r="AW105" s="638"/>
      <c r="AX105" s="638"/>
      <c r="AY105" s="638"/>
      <c r="AZ105" s="346"/>
      <c r="BA105" s="347"/>
      <c r="BB105" s="673"/>
      <c r="BC105" s="673"/>
      <c r="BD105" s="673"/>
      <c r="BE105" s="673"/>
      <c r="BF105" s="673"/>
      <c r="BG105" s="673"/>
      <c r="BH105" s="673"/>
      <c r="BI105" s="673"/>
      <c r="BM105" s="616"/>
      <c r="BN105" s="616"/>
      <c r="BO105" s="616"/>
      <c r="BP105" s="616"/>
      <c r="BQ105" s="616"/>
      <c r="BR105" s="345"/>
    </row>
    <row r="106" spans="2:70" ht="6" customHeight="1">
      <c r="B106" s="669">
        <v>11</v>
      </c>
      <c r="C106" s="655"/>
      <c r="D106" s="655"/>
      <c r="E106" s="638" t="s">
        <v>2964</v>
      </c>
      <c r="F106" s="638"/>
      <c r="G106" s="638"/>
      <c r="H106" s="638"/>
      <c r="I106" s="638"/>
      <c r="J106" s="638"/>
      <c r="K106" s="638"/>
      <c r="L106" s="638"/>
      <c r="M106" s="638"/>
      <c r="N106" s="638"/>
      <c r="O106" s="638"/>
      <c r="P106" s="638"/>
      <c r="Q106" s="638"/>
      <c r="R106" s="638"/>
      <c r="S106" s="345"/>
      <c r="T106" s="671"/>
      <c r="U106" s="639"/>
      <c r="V106" s="639"/>
      <c r="W106" s="639"/>
      <c r="X106" s="639"/>
      <c r="Y106" s="639"/>
      <c r="Z106" s="340"/>
      <c r="AA106" s="343"/>
      <c r="AB106" s="618"/>
      <c r="AC106" s="618"/>
      <c r="AD106" s="618"/>
      <c r="AE106" s="618"/>
      <c r="AF106" s="341"/>
      <c r="AG106" s="672"/>
      <c r="AH106" s="672"/>
      <c r="AI106" s="672"/>
      <c r="AJ106" s="672"/>
      <c r="AK106" s="672"/>
      <c r="AL106" s="672"/>
      <c r="AM106" s="672"/>
      <c r="AN106" s="618"/>
      <c r="AO106" s="618"/>
      <c r="AP106" s="618"/>
      <c r="AQ106" s="618"/>
      <c r="AR106" s="342"/>
      <c r="AS106" s="343"/>
      <c r="AT106" s="639"/>
      <c r="AU106" s="639"/>
      <c r="AV106" s="639"/>
      <c r="AW106" s="639"/>
      <c r="AX106" s="639"/>
      <c r="AY106" s="639"/>
      <c r="AZ106" s="342"/>
      <c r="BA106" s="343"/>
      <c r="BB106" s="674"/>
      <c r="BC106" s="674"/>
      <c r="BD106" s="674"/>
      <c r="BE106" s="674"/>
      <c r="BF106" s="674"/>
      <c r="BG106" s="674"/>
      <c r="BH106" s="674"/>
      <c r="BI106" s="674"/>
      <c r="BJ106" s="341"/>
      <c r="BK106" s="341"/>
      <c r="BL106" s="341"/>
      <c r="BM106" s="618"/>
      <c r="BN106" s="618"/>
      <c r="BO106" s="618"/>
      <c r="BP106" s="618"/>
      <c r="BQ106" s="618"/>
      <c r="BR106" s="340"/>
    </row>
    <row r="107" spans="2:70" ht="6" customHeight="1">
      <c r="B107" s="669"/>
      <c r="C107" s="655"/>
      <c r="D107" s="655"/>
      <c r="E107" s="638"/>
      <c r="F107" s="638"/>
      <c r="G107" s="638"/>
      <c r="H107" s="638"/>
      <c r="I107" s="638"/>
      <c r="J107" s="638"/>
      <c r="K107" s="638"/>
      <c r="L107" s="638"/>
      <c r="M107" s="638"/>
      <c r="N107" s="638"/>
      <c r="O107" s="638"/>
      <c r="P107" s="638"/>
      <c r="Q107" s="638"/>
      <c r="R107" s="638"/>
      <c r="S107" s="346"/>
      <c r="T107" s="670" t="s">
        <v>2963</v>
      </c>
      <c r="U107" s="638"/>
      <c r="V107" s="638"/>
      <c r="W107" s="638"/>
      <c r="X107" s="638"/>
      <c r="Y107" s="638"/>
      <c r="Z107" s="345"/>
      <c r="AB107" s="634"/>
      <c r="AC107" s="634"/>
      <c r="AD107" s="634"/>
      <c r="AE107" s="634"/>
      <c r="AF107" s="634"/>
      <c r="AG107" s="634"/>
      <c r="AH107" s="634"/>
      <c r="AI107" s="634"/>
      <c r="AJ107" s="634"/>
      <c r="AK107" s="634"/>
      <c r="AL107" s="634"/>
      <c r="AM107" s="634"/>
      <c r="AN107" s="634"/>
      <c r="AO107" s="634"/>
      <c r="AP107" s="634"/>
      <c r="AQ107" s="634"/>
      <c r="AR107" s="346"/>
      <c r="AS107" s="349"/>
      <c r="AT107" s="616" t="s">
        <v>2962</v>
      </c>
      <c r="AU107" s="616"/>
      <c r="AV107" s="616"/>
      <c r="AW107" s="616"/>
      <c r="AX107" s="616"/>
      <c r="AY107" s="616"/>
      <c r="AZ107" s="346"/>
      <c r="BA107" s="347"/>
      <c r="BB107" s="633" t="s">
        <v>3015</v>
      </c>
      <c r="BC107" s="633"/>
      <c r="BD107" s="616" t="s">
        <v>2961</v>
      </c>
      <c r="BE107" s="616"/>
      <c r="BF107" s="616"/>
      <c r="BG107" s="616"/>
      <c r="BH107" s="640" t="s">
        <v>2960</v>
      </c>
      <c r="BI107" s="640"/>
      <c r="BJ107" s="633"/>
      <c r="BK107" s="633"/>
      <c r="BL107" s="616" t="s">
        <v>2959</v>
      </c>
      <c r="BM107" s="616"/>
      <c r="BN107" s="616"/>
      <c r="BO107" s="616"/>
      <c r="BR107" s="345"/>
    </row>
    <row r="108" spans="2:70" ht="6" customHeight="1">
      <c r="B108" s="351"/>
      <c r="C108" s="350"/>
      <c r="D108" s="350"/>
      <c r="E108" s="339"/>
      <c r="F108" s="339"/>
      <c r="G108" s="339"/>
      <c r="H108" s="339"/>
      <c r="I108" s="339"/>
      <c r="J108" s="339"/>
      <c r="K108" s="339"/>
      <c r="L108" s="339"/>
      <c r="M108" s="339"/>
      <c r="N108" s="339"/>
      <c r="O108" s="339"/>
      <c r="P108" s="339"/>
      <c r="Q108" s="339"/>
      <c r="R108" s="339"/>
      <c r="S108" s="346"/>
      <c r="T108" s="670"/>
      <c r="U108" s="638"/>
      <c r="V108" s="638"/>
      <c r="W108" s="638"/>
      <c r="X108" s="638"/>
      <c r="Y108" s="638"/>
      <c r="Z108" s="345"/>
      <c r="AB108" s="634"/>
      <c r="AC108" s="634"/>
      <c r="AD108" s="634"/>
      <c r="AE108" s="634"/>
      <c r="AF108" s="634"/>
      <c r="AG108" s="634"/>
      <c r="AH108" s="634"/>
      <c r="AI108" s="634"/>
      <c r="AJ108" s="634"/>
      <c r="AK108" s="634"/>
      <c r="AL108" s="634"/>
      <c r="AM108" s="634"/>
      <c r="AN108" s="634"/>
      <c r="AO108" s="634"/>
      <c r="AP108" s="634"/>
      <c r="AQ108" s="634"/>
      <c r="AR108" s="346"/>
      <c r="AS108" s="349"/>
      <c r="AT108" s="616"/>
      <c r="AU108" s="616"/>
      <c r="AV108" s="616"/>
      <c r="AW108" s="616"/>
      <c r="AX108" s="616"/>
      <c r="AY108" s="616"/>
      <c r="AZ108" s="346"/>
      <c r="BA108" s="347"/>
      <c r="BB108" s="633"/>
      <c r="BC108" s="633"/>
      <c r="BD108" s="616"/>
      <c r="BE108" s="616"/>
      <c r="BF108" s="616"/>
      <c r="BG108" s="616"/>
      <c r="BH108" s="640"/>
      <c r="BI108" s="640"/>
      <c r="BJ108" s="633"/>
      <c r="BK108" s="633"/>
      <c r="BL108" s="616"/>
      <c r="BM108" s="616"/>
      <c r="BN108" s="616"/>
      <c r="BO108" s="616"/>
      <c r="BR108" s="345"/>
    </row>
    <row r="109" spans="2:70" ht="6" customHeight="1">
      <c r="B109" s="351"/>
      <c r="C109" s="350"/>
      <c r="D109" s="350"/>
      <c r="E109" s="339"/>
      <c r="F109" s="339"/>
      <c r="G109" s="339"/>
      <c r="H109" s="339"/>
      <c r="I109" s="339"/>
      <c r="J109" s="339"/>
      <c r="K109" s="339"/>
      <c r="L109" s="339"/>
      <c r="M109" s="339"/>
      <c r="N109" s="339"/>
      <c r="O109" s="339"/>
      <c r="P109" s="339"/>
      <c r="Q109" s="339"/>
      <c r="R109" s="339"/>
      <c r="S109" s="346"/>
      <c r="T109" s="670"/>
      <c r="U109" s="638"/>
      <c r="V109" s="638"/>
      <c r="W109" s="638"/>
      <c r="X109" s="638"/>
      <c r="Y109" s="638"/>
      <c r="Z109" s="345"/>
      <c r="AB109" s="634"/>
      <c r="AC109" s="634"/>
      <c r="AD109" s="634"/>
      <c r="AE109" s="634"/>
      <c r="AF109" s="634"/>
      <c r="AG109" s="634"/>
      <c r="AH109" s="634"/>
      <c r="AI109" s="634"/>
      <c r="AJ109" s="634"/>
      <c r="AK109" s="634"/>
      <c r="AL109" s="634"/>
      <c r="AM109" s="634"/>
      <c r="AN109" s="634"/>
      <c r="AO109" s="634"/>
      <c r="AP109" s="634"/>
      <c r="AQ109" s="634"/>
      <c r="AR109" s="346"/>
      <c r="AS109" s="349"/>
      <c r="AT109" s="616"/>
      <c r="AU109" s="616"/>
      <c r="AV109" s="616"/>
      <c r="AW109" s="616"/>
      <c r="AX109" s="616"/>
      <c r="AY109" s="616"/>
      <c r="AZ109" s="346"/>
      <c r="BA109" s="347"/>
      <c r="BB109" s="633"/>
      <c r="BC109" s="633"/>
      <c r="BD109" s="616"/>
      <c r="BE109" s="616"/>
      <c r="BF109" s="616"/>
      <c r="BG109" s="616"/>
      <c r="BH109" s="640"/>
      <c r="BI109" s="640"/>
      <c r="BJ109" s="633"/>
      <c r="BK109" s="633"/>
      <c r="BL109" s="616"/>
      <c r="BM109" s="616"/>
      <c r="BN109" s="616"/>
      <c r="BO109" s="616"/>
      <c r="BR109" s="345"/>
    </row>
    <row r="110" spans="2:70" ht="6" customHeight="1">
      <c r="B110" s="348"/>
      <c r="I110" s="347"/>
      <c r="J110" s="347"/>
      <c r="K110" s="347"/>
      <c r="L110" s="347"/>
      <c r="M110" s="347"/>
      <c r="N110" s="347"/>
      <c r="O110" s="347"/>
      <c r="P110" s="347"/>
      <c r="Q110" s="347"/>
      <c r="R110" s="347"/>
      <c r="S110" s="346"/>
      <c r="T110" s="670"/>
      <c r="U110" s="638"/>
      <c r="V110" s="638"/>
      <c r="W110" s="638"/>
      <c r="X110" s="638"/>
      <c r="Y110" s="638"/>
      <c r="Z110" s="345"/>
      <c r="AB110" s="634"/>
      <c r="AC110" s="634"/>
      <c r="AD110" s="634"/>
      <c r="AE110" s="634"/>
      <c r="AF110" s="634"/>
      <c r="AG110" s="634"/>
      <c r="AH110" s="634"/>
      <c r="AI110" s="634"/>
      <c r="AJ110" s="634"/>
      <c r="AK110" s="634"/>
      <c r="AL110" s="634"/>
      <c r="AM110" s="634"/>
      <c r="AN110" s="634"/>
      <c r="AO110" s="634"/>
      <c r="AP110" s="634"/>
      <c r="AQ110" s="634"/>
      <c r="AR110" s="345"/>
      <c r="AT110" s="616"/>
      <c r="AU110" s="616"/>
      <c r="AV110" s="616"/>
      <c r="AW110" s="616"/>
      <c r="AX110" s="616"/>
      <c r="AY110" s="616"/>
      <c r="AZ110" s="345"/>
      <c r="BB110" s="633"/>
      <c r="BC110" s="633"/>
      <c r="BD110" s="616"/>
      <c r="BE110" s="616"/>
      <c r="BF110" s="616"/>
      <c r="BG110" s="616"/>
      <c r="BH110" s="640"/>
      <c r="BI110" s="640"/>
      <c r="BJ110" s="633"/>
      <c r="BK110" s="633"/>
      <c r="BL110" s="616"/>
      <c r="BM110" s="616"/>
      <c r="BN110" s="616"/>
      <c r="BO110" s="616"/>
      <c r="BR110" s="345"/>
    </row>
    <row r="111" spans="2:70" ht="6" customHeight="1">
      <c r="B111" s="344"/>
      <c r="C111" s="341"/>
      <c r="D111" s="341"/>
      <c r="E111" s="341"/>
      <c r="F111" s="341"/>
      <c r="G111" s="341"/>
      <c r="H111" s="341"/>
      <c r="I111" s="343"/>
      <c r="J111" s="343"/>
      <c r="K111" s="343"/>
      <c r="L111" s="343"/>
      <c r="M111" s="343"/>
      <c r="N111" s="343"/>
      <c r="O111" s="343"/>
      <c r="P111" s="343"/>
      <c r="Q111" s="343"/>
      <c r="R111" s="343"/>
      <c r="S111" s="342"/>
      <c r="T111" s="671"/>
      <c r="U111" s="639"/>
      <c r="V111" s="639"/>
      <c r="W111" s="639"/>
      <c r="X111" s="639"/>
      <c r="Y111" s="639"/>
      <c r="Z111" s="340"/>
      <c r="AA111" s="341"/>
      <c r="AB111" s="676"/>
      <c r="AC111" s="676"/>
      <c r="AD111" s="676"/>
      <c r="AE111" s="676"/>
      <c r="AF111" s="676"/>
      <c r="AG111" s="676"/>
      <c r="AH111" s="676"/>
      <c r="AI111" s="676"/>
      <c r="AJ111" s="676"/>
      <c r="AK111" s="676"/>
      <c r="AL111" s="676"/>
      <c r="AM111" s="676"/>
      <c r="AN111" s="676"/>
      <c r="AO111" s="676"/>
      <c r="AP111" s="676"/>
      <c r="AQ111" s="676"/>
      <c r="AR111" s="340"/>
      <c r="AS111" s="341"/>
      <c r="AT111" s="618"/>
      <c r="AU111" s="618"/>
      <c r="AV111" s="618"/>
      <c r="AW111" s="618"/>
      <c r="AX111" s="618"/>
      <c r="AY111" s="618"/>
      <c r="AZ111" s="340"/>
      <c r="BA111" s="341"/>
      <c r="BB111" s="675"/>
      <c r="BC111" s="675"/>
      <c r="BD111" s="618"/>
      <c r="BE111" s="618"/>
      <c r="BF111" s="618"/>
      <c r="BG111" s="618"/>
      <c r="BH111" s="641"/>
      <c r="BI111" s="641"/>
      <c r="BJ111" s="675"/>
      <c r="BK111" s="675"/>
      <c r="BL111" s="618"/>
      <c r="BM111" s="618"/>
      <c r="BN111" s="618"/>
      <c r="BO111" s="618"/>
      <c r="BP111" s="341"/>
      <c r="BQ111" s="341"/>
      <c r="BR111" s="340"/>
    </row>
    <row r="112" spans="2:70" ht="15" customHeight="1">
      <c r="B112" s="677" t="s">
        <v>2958</v>
      </c>
      <c r="C112" s="677"/>
      <c r="D112" s="677"/>
      <c r="F112" s="678">
        <v>1</v>
      </c>
      <c r="G112" s="678"/>
      <c r="H112" s="679" t="s">
        <v>2957</v>
      </c>
      <c r="I112" s="679"/>
      <c r="J112" s="679"/>
      <c r="K112" s="679"/>
      <c r="L112" s="679"/>
      <c r="M112" s="679"/>
      <c r="N112" s="679"/>
      <c r="O112" s="679"/>
      <c r="P112" s="679"/>
      <c r="Q112" s="679"/>
      <c r="R112" s="679"/>
      <c r="S112" s="679"/>
      <c r="T112" s="679"/>
      <c r="U112" s="679"/>
      <c r="V112" s="679"/>
      <c r="W112" s="679"/>
      <c r="X112" s="679"/>
      <c r="Y112" s="679"/>
      <c r="Z112" s="679"/>
      <c r="AA112" s="679"/>
      <c r="AB112" s="679"/>
      <c r="AC112" s="679"/>
      <c r="AD112" s="679"/>
      <c r="AE112" s="679"/>
      <c r="AF112" s="679"/>
      <c r="AG112" s="679"/>
      <c r="AH112" s="679"/>
      <c r="AI112" s="679"/>
      <c r="AJ112" s="679"/>
      <c r="AK112" s="679"/>
      <c r="AL112" s="679"/>
      <c r="AM112" s="679"/>
      <c r="AN112" s="679"/>
      <c r="AO112" s="679"/>
      <c r="AP112" s="679"/>
      <c r="AQ112" s="679"/>
      <c r="AR112" s="679"/>
      <c r="AS112" s="679"/>
      <c r="AT112" s="679"/>
      <c r="AU112" s="679"/>
      <c r="AV112" s="679"/>
      <c r="AW112" s="679"/>
      <c r="AX112" s="679"/>
      <c r="AY112" s="679"/>
      <c r="AZ112" s="679"/>
      <c r="BA112" s="679"/>
      <c r="BB112" s="679"/>
      <c r="BC112" s="679"/>
      <c r="BD112" s="679"/>
      <c r="BE112" s="679"/>
      <c r="BF112" s="679"/>
      <c r="BG112" s="679"/>
      <c r="BH112" s="679"/>
      <c r="BI112" s="679"/>
      <c r="BJ112" s="679"/>
      <c r="BK112" s="679"/>
      <c r="BL112" s="679"/>
      <c r="BM112" s="679"/>
      <c r="BN112" s="679"/>
      <c r="BO112" s="679"/>
      <c r="BP112" s="679"/>
      <c r="BQ112" s="679"/>
      <c r="BR112" s="679"/>
    </row>
    <row r="113" spans="2:70" ht="15" customHeight="1">
      <c r="C113" s="339">
        <v>2</v>
      </c>
      <c r="F113" s="678">
        <v>2</v>
      </c>
      <c r="G113" s="678"/>
      <c r="H113" s="680" t="s">
        <v>2956</v>
      </c>
      <c r="I113" s="680"/>
      <c r="J113" s="680"/>
      <c r="K113" s="680"/>
      <c r="L113" s="680"/>
      <c r="M113" s="680"/>
      <c r="N113" s="680"/>
      <c r="O113" s="680"/>
      <c r="P113" s="680"/>
      <c r="Q113" s="680"/>
      <c r="R113" s="680"/>
      <c r="S113" s="680"/>
      <c r="T113" s="680"/>
      <c r="U113" s="680"/>
      <c r="V113" s="680"/>
      <c r="W113" s="680"/>
      <c r="X113" s="680"/>
      <c r="Y113" s="680"/>
      <c r="Z113" s="680"/>
      <c r="AA113" s="680"/>
      <c r="AB113" s="680"/>
      <c r="AC113" s="680"/>
      <c r="AD113" s="680"/>
      <c r="AE113" s="680"/>
      <c r="AF113" s="680"/>
      <c r="AG113" s="680"/>
      <c r="AH113" s="680"/>
      <c r="AI113" s="680"/>
      <c r="AJ113" s="680"/>
      <c r="AK113" s="680"/>
      <c r="AL113" s="680"/>
      <c r="AM113" s="680"/>
      <c r="AN113" s="680"/>
      <c r="AO113" s="680"/>
      <c r="AP113" s="680"/>
      <c r="AQ113" s="680"/>
      <c r="AR113" s="680"/>
      <c r="AS113" s="680"/>
      <c r="AT113" s="680"/>
      <c r="AU113" s="680"/>
      <c r="AV113" s="680"/>
      <c r="AW113" s="680"/>
      <c r="AX113" s="680"/>
      <c r="AY113" s="680"/>
      <c r="AZ113" s="680"/>
      <c r="BA113" s="680"/>
      <c r="BB113" s="680"/>
      <c r="BC113" s="680"/>
      <c r="BD113" s="680"/>
      <c r="BE113" s="680"/>
      <c r="BF113" s="680"/>
      <c r="BG113" s="680"/>
      <c r="BH113" s="680"/>
      <c r="BI113" s="680"/>
      <c r="BJ113" s="680"/>
      <c r="BK113" s="680"/>
      <c r="BL113" s="680"/>
      <c r="BM113" s="680"/>
      <c r="BN113" s="680"/>
      <c r="BO113" s="680"/>
      <c r="BP113" s="680"/>
      <c r="BQ113" s="680"/>
      <c r="BR113" s="680"/>
    </row>
    <row r="114" spans="2:70" ht="15" customHeight="1">
      <c r="C114" s="339">
        <v>3</v>
      </c>
      <c r="F114" s="678">
        <v>3</v>
      </c>
      <c r="G114" s="678"/>
      <c r="H114" s="680" t="s">
        <v>2955</v>
      </c>
      <c r="I114" s="680"/>
      <c r="J114" s="680"/>
      <c r="K114" s="680"/>
      <c r="L114" s="680"/>
      <c r="M114" s="680"/>
      <c r="N114" s="680"/>
      <c r="O114" s="680"/>
      <c r="P114" s="680"/>
      <c r="Q114" s="680"/>
      <c r="R114" s="680"/>
      <c r="S114" s="680"/>
      <c r="T114" s="680"/>
      <c r="U114" s="680"/>
      <c r="V114" s="680"/>
      <c r="W114" s="680"/>
      <c r="X114" s="680"/>
      <c r="Y114" s="680"/>
      <c r="Z114" s="680"/>
      <c r="AA114" s="680"/>
      <c r="AB114" s="680"/>
      <c r="AC114" s="680"/>
      <c r="AD114" s="680"/>
      <c r="AE114" s="680"/>
      <c r="AF114" s="680"/>
      <c r="AG114" s="680"/>
      <c r="AH114" s="680"/>
      <c r="AI114" s="680"/>
      <c r="AJ114" s="680"/>
      <c r="AK114" s="680"/>
      <c r="AL114" s="680"/>
      <c r="AM114" s="680"/>
      <c r="AN114" s="680"/>
      <c r="AO114" s="680"/>
      <c r="AP114" s="680"/>
      <c r="AQ114" s="680"/>
      <c r="AR114" s="680"/>
      <c r="AS114" s="680"/>
      <c r="AT114" s="680"/>
      <c r="AU114" s="680"/>
      <c r="AV114" s="680"/>
      <c r="AW114" s="680"/>
      <c r="AX114" s="680"/>
      <c r="AY114" s="680"/>
      <c r="AZ114" s="680"/>
      <c r="BA114" s="680"/>
      <c r="BB114" s="680"/>
      <c r="BC114" s="680"/>
      <c r="BD114" s="680"/>
      <c r="BE114" s="680"/>
      <c r="BF114" s="680"/>
      <c r="BG114" s="680"/>
      <c r="BH114" s="680"/>
      <c r="BI114" s="680"/>
      <c r="BJ114" s="680"/>
      <c r="BK114" s="680"/>
      <c r="BL114" s="680"/>
      <c r="BM114" s="680"/>
      <c r="BN114" s="680"/>
      <c r="BO114" s="680"/>
      <c r="BP114" s="680"/>
      <c r="BQ114" s="680"/>
      <c r="BR114" s="680"/>
    </row>
    <row r="115" spans="2:70" ht="15" customHeight="1">
      <c r="C115" s="339">
        <v>4</v>
      </c>
      <c r="F115" s="678">
        <v>4</v>
      </c>
      <c r="G115" s="678"/>
      <c r="H115" s="684" t="s">
        <v>3258</v>
      </c>
      <c r="I115" s="684"/>
      <c r="J115" s="684"/>
      <c r="K115" s="684"/>
      <c r="L115" s="684"/>
      <c r="M115" s="684"/>
      <c r="N115" s="684"/>
      <c r="O115" s="684"/>
      <c r="P115" s="684"/>
      <c r="Q115" s="684"/>
      <c r="R115" s="684"/>
      <c r="S115" s="684"/>
      <c r="T115" s="684"/>
      <c r="U115" s="684"/>
      <c r="V115" s="684"/>
      <c r="W115" s="684"/>
      <c r="X115" s="684"/>
      <c r="Y115" s="684"/>
      <c r="Z115" s="684"/>
      <c r="AA115" s="684"/>
      <c r="AB115" s="684"/>
      <c r="AC115" s="684"/>
      <c r="AD115" s="684"/>
      <c r="AE115" s="684"/>
      <c r="AF115" s="684"/>
      <c r="AG115" s="684"/>
      <c r="AH115" s="684"/>
      <c r="AI115" s="684"/>
      <c r="AJ115" s="684"/>
      <c r="AK115" s="684"/>
      <c r="AL115" s="684"/>
      <c r="AM115" s="684"/>
      <c r="AN115" s="684"/>
      <c r="AO115" s="684"/>
      <c r="AP115" s="684"/>
      <c r="AQ115" s="684"/>
      <c r="AR115" s="684"/>
      <c r="AS115" s="684"/>
      <c r="AT115" s="684"/>
      <c r="AU115" s="684"/>
      <c r="AV115" s="684"/>
      <c r="AW115" s="684"/>
      <c r="AX115" s="684"/>
      <c r="AY115" s="684"/>
      <c r="AZ115" s="684"/>
      <c r="BA115" s="684"/>
      <c r="BB115" s="684"/>
      <c r="BC115" s="684"/>
      <c r="BD115" s="684"/>
      <c r="BE115" s="684"/>
      <c r="BF115" s="684"/>
      <c r="BG115" s="684"/>
      <c r="BH115" s="684"/>
      <c r="BI115" s="684"/>
      <c r="BJ115" s="684"/>
      <c r="BK115" s="684"/>
      <c r="BL115" s="684"/>
      <c r="BM115" s="684"/>
      <c r="BN115" s="684"/>
      <c r="BO115" s="684"/>
      <c r="BP115" s="684"/>
      <c r="BQ115" s="684"/>
      <c r="BR115" s="684"/>
    </row>
    <row r="116" spans="2:70" ht="15" customHeight="1">
      <c r="C116" s="339"/>
      <c r="F116" s="678"/>
      <c r="G116" s="678"/>
      <c r="H116" s="684" t="s">
        <v>2954</v>
      </c>
      <c r="I116" s="684"/>
      <c r="J116" s="684"/>
      <c r="K116" s="684"/>
      <c r="L116" s="684"/>
      <c r="M116" s="684"/>
      <c r="N116" s="684"/>
      <c r="O116" s="684"/>
      <c r="P116" s="684"/>
      <c r="Q116" s="684"/>
      <c r="R116" s="684"/>
      <c r="S116" s="684"/>
      <c r="T116" s="684"/>
      <c r="U116" s="684"/>
      <c r="V116" s="684"/>
      <c r="W116" s="684"/>
      <c r="X116" s="684"/>
      <c r="Y116" s="684"/>
      <c r="Z116" s="684"/>
      <c r="AA116" s="684"/>
      <c r="AB116" s="684"/>
      <c r="AC116" s="684"/>
      <c r="AD116" s="684"/>
      <c r="AE116" s="684"/>
      <c r="AF116" s="684"/>
      <c r="AG116" s="684"/>
      <c r="AH116" s="684"/>
      <c r="AI116" s="684"/>
      <c r="AJ116" s="684"/>
      <c r="AK116" s="684"/>
      <c r="AL116" s="684"/>
      <c r="AM116" s="684"/>
      <c r="AN116" s="684"/>
      <c r="AO116" s="684"/>
      <c r="AP116" s="684"/>
      <c r="AQ116" s="684"/>
      <c r="AR116" s="684"/>
      <c r="AS116" s="684"/>
      <c r="AT116" s="684"/>
      <c r="AU116" s="684"/>
      <c r="AV116" s="684"/>
      <c r="AW116" s="684"/>
      <c r="AX116" s="684"/>
      <c r="AY116" s="684"/>
      <c r="AZ116" s="684"/>
      <c r="BA116" s="684"/>
      <c r="BB116" s="684"/>
      <c r="BC116" s="684"/>
      <c r="BD116" s="684"/>
      <c r="BE116" s="684"/>
      <c r="BF116" s="684"/>
      <c r="BG116" s="684"/>
      <c r="BH116" s="684"/>
      <c r="BI116" s="684"/>
      <c r="BJ116" s="684"/>
      <c r="BK116" s="684"/>
      <c r="BL116" s="684"/>
      <c r="BM116" s="684"/>
      <c r="BN116" s="684"/>
      <c r="BO116" s="684"/>
      <c r="BP116" s="684"/>
      <c r="BQ116" s="684"/>
      <c r="BR116" s="684"/>
    </row>
    <row r="117" spans="2:70" ht="15" customHeight="1">
      <c r="C117" s="339">
        <v>5</v>
      </c>
      <c r="F117" s="678">
        <v>5</v>
      </c>
      <c r="G117" s="678"/>
      <c r="H117" s="680" t="s">
        <v>2953</v>
      </c>
      <c r="I117" s="680"/>
      <c r="J117" s="680"/>
      <c r="K117" s="680"/>
      <c r="L117" s="680"/>
      <c r="M117" s="680"/>
      <c r="N117" s="680"/>
      <c r="O117" s="680"/>
      <c r="P117" s="680"/>
      <c r="Q117" s="680"/>
      <c r="R117" s="680"/>
      <c r="S117" s="680"/>
      <c r="T117" s="680"/>
      <c r="U117" s="680"/>
      <c r="V117" s="680"/>
      <c r="W117" s="680"/>
      <c r="X117" s="680"/>
      <c r="Y117" s="680"/>
      <c r="Z117" s="680"/>
      <c r="AA117" s="680"/>
      <c r="AB117" s="680"/>
      <c r="AC117" s="680"/>
      <c r="AD117" s="680"/>
      <c r="AE117" s="680"/>
      <c r="AF117" s="680"/>
      <c r="AG117" s="680"/>
      <c r="AH117" s="680"/>
      <c r="AI117" s="680"/>
      <c r="AJ117" s="680"/>
      <c r="AK117" s="680"/>
      <c r="AL117" s="680"/>
      <c r="AM117" s="680"/>
      <c r="AN117" s="680"/>
      <c r="AO117" s="680"/>
      <c r="AP117" s="680"/>
      <c r="AQ117" s="680"/>
      <c r="AR117" s="680"/>
      <c r="AS117" s="680"/>
      <c r="AT117" s="680"/>
      <c r="AU117" s="680"/>
      <c r="AV117" s="680"/>
      <c r="AW117" s="680"/>
      <c r="AX117" s="680"/>
      <c r="AY117" s="680"/>
      <c r="AZ117" s="680"/>
      <c r="BA117" s="680"/>
      <c r="BB117" s="680"/>
      <c r="BC117" s="680"/>
      <c r="BD117" s="680"/>
      <c r="BE117" s="680"/>
      <c r="BF117" s="680"/>
      <c r="BG117" s="680"/>
      <c r="BH117" s="680"/>
      <c r="BI117" s="680"/>
      <c r="BJ117" s="680"/>
      <c r="BK117" s="680"/>
      <c r="BL117" s="680"/>
      <c r="BM117" s="680"/>
      <c r="BN117" s="680"/>
      <c r="BO117" s="680"/>
      <c r="BP117" s="680"/>
      <c r="BQ117" s="680"/>
      <c r="BR117" s="680"/>
    </row>
    <row r="118" spans="2:70" ht="15" customHeight="1">
      <c r="C118" s="339">
        <v>6</v>
      </c>
      <c r="F118" s="678">
        <v>6</v>
      </c>
      <c r="G118" s="678"/>
      <c r="H118" s="680" t="s">
        <v>2952</v>
      </c>
      <c r="I118" s="680"/>
      <c r="J118" s="680"/>
      <c r="K118" s="680"/>
      <c r="L118" s="680"/>
      <c r="M118" s="680"/>
      <c r="N118" s="680"/>
      <c r="O118" s="680"/>
      <c r="P118" s="680"/>
      <c r="Q118" s="680"/>
      <c r="R118" s="680"/>
      <c r="S118" s="680"/>
      <c r="T118" s="680"/>
      <c r="U118" s="680"/>
      <c r="V118" s="680"/>
      <c r="W118" s="680"/>
      <c r="X118" s="680"/>
      <c r="Y118" s="680"/>
      <c r="Z118" s="680"/>
      <c r="AA118" s="680"/>
      <c r="AB118" s="680"/>
      <c r="AC118" s="680"/>
      <c r="AD118" s="680"/>
      <c r="AE118" s="680"/>
      <c r="AF118" s="680"/>
      <c r="AG118" s="680"/>
      <c r="AH118" s="680"/>
      <c r="AI118" s="680"/>
      <c r="AJ118" s="680"/>
      <c r="AK118" s="680"/>
      <c r="AL118" s="680"/>
      <c r="AM118" s="680"/>
      <c r="AN118" s="680"/>
      <c r="AO118" s="680"/>
      <c r="AP118" s="680"/>
      <c r="AQ118" s="680"/>
      <c r="AR118" s="680"/>
      <c r="AS118" s="680"/>
      <c r="AT118" s="680"/>
      <c r="AU118" s="680"/>
      <c r="AV118" s="680"/>
      <c r="AW118" s="680"/>
      <c r="AX118" s="680"/>
      <c r="AY118" s="680"/>
      <c r="AZ118" s="680"/>
      <c r="BA118" s="680"/>
      <c r="BB118" s="680"/>
      <c r="BC118" s="680"/>
      <c r="BD118" s="680"/>
      <c r="BE118" s="680"/>
      <c r="BF118" s="680"/>
      <c r="BG118" s="680"/>
      <c r="BH118" s="680"/>
      <c r="BI118" s="680"/>
      <c r="BJ118" s="680"/>
      <c r="BK118" s="680"/>
      <c r="BL118" s="680"/>
      <c r="BM118" s="680"/>
      <c r="BN118" s="680"/>
      <c r="BO118" s="680"/>
      <c r="BP118" s="680"/>
      <c r="BQ118" s="680"/>
      <c r="BR118" s="680"/>
    </row>
    <row r="120" spans="2:70" ht="9.75" customHeight="1">
      <c r="C120" s="339"/>
      <c r="F120" s="378"/>
      <c r="G120" s="378"/>
      <c r="H120" s="381"/>
      <c r="I120" s="380"/>
      <c r="J120" s="380"/>
      <c r="K120" s="380"/>
      <c r="L120" s="380"/>
      <c r="M120" s="380"/>
      <c r="N120" s="380"/>
      <c r="O120" s="380"/>
      <c r="P120" s="380"/>
      <c r="Q120" s="380"/>
      <c r="R120" s="380"/>
      <c r="S120" s="380"/>
      <c r="T120" s="380"/>
      <c r="U120" s="380"/>
      <c r="V120" s="380"/>
      <c r="W120" s="380"/>
      <c r="X120" s="380"/>
      <c r="Y120" s="380"/>
      <c r="Z120" s="380"/>
      <c r="AA120" s="380"/>
      <c r="AB120" s="380"/>
      <c r="AC120" s="380"/>
      <c r="AD120" s="380"/>
      <c r="AE120" s="380"/>
      <c r="AF120" s="380"/>
      <c r="AG120" s="380"/>
      <c r="AH120" s="380"/>
      <c r="AI120" s="380"/>
    </row>
    <row r="121" spans="2:70">
      <c r="B121" s="359" t="s">
        <v>3014</v>
      </c>
      <c r="C121" s="359"/>
      <c r="D121" s="359"/>
      <c r="E121" s="359"/>
      <c r="F121" s="359"/>
      <c r="G121" s="359"/>
      <c r="H121" s="359"/>
      <c r="I121" s="359"/>
      <c r="J121" s="359"/>
      <c r="K121" s="359"/>
      <c r="L121" s="359"/>
      <c r="M121" s="359"/>
      <c r="N121" s="359"/>
      <c r="O121" s="359"/>
      <c r="P121" s="359"/>
      <c r="Q121" s="359"/>
      <c r="R121" s="359"/>
      <c r="S121" s="359"/>
      <c r="T121" s="359"/>
    </row>
    <row r="122" spans="2:70" ht="6" customHeight="1">
      <c r="AG122" s="613" t="s">
        <v>3168</v>
      </c>
      <c r="AH122" s="614"/>
      <c r="AI122" s="614"/>
      <c r="AJ122" s="614" t="s">
        <v>2999</v>
      </c>
      <c r="AK122" s="614"/>
      <c r="AL122" s="614"/>
      <c r="AM122" s="614"/>
      <c r="AN122" s="614"/>
      <c r="AO122" s="614"/>
      <c r="AP122" s="614"/>
      <c r="AQ122" s="614"/>
      <c r="AR122" s="614"/>
      <c r="AS122" s="614"/>
      <c r="AT122" s="614"/>
      <c r="AU122" s="614"/>
      <c r="AV122" s="614" t="s">
        <v>466</v>
      </c>
      <c r="AW122" s="614"/>
      <c r="AX122" s="619"/>
      <c r="AY122" s="619"/>
      <c r="AZ122" s="619"/>
      <c r="BA122" s="619"/>
      <c r="BB122" s="619"/>
      <c r="BC122" s="614" t="s">
        <v>464</v>
      </c>
      <c r="BD122" s="614"/>
      <c r="BE122" s="614"/>
      <c r="BF122" s="619"/>
      <c r="BG122" s="619"/>
      <c r="BH122" s="619"/>
      <c r="BI122" s="686" t="s">
        <v>1</v>
      </c>
      <c r="BJ122" s="614"/>
      <c r="BK122" s="614"/>
      <c r="BL122" s="619"/>
      <c r="BM122" s="619"/>
      <c r="BN122" s="619"/>
      <c r="BO122" s="686" t="s">
        <v>465</v>
      </c>
      <c r="BP122" s="614"/>
      <c r="BQ122" s="614"/>
      <c r="BR122" s="469"/>
    </row>
    <row r="123" spans="2:70" ht="6" customHeight="1">
      <c r="AG123" s="615"/>
      <c r="AH123" s="616"/>
      <c r="AI123" s="616"/>
      <c r="AJ123" s="616"/>
      <c r="AK123" s="616"/>
      <c r="AL123" s="616"/>
      <c r="AM123" s="616"/>
      <c r="AN123" s="616"/>
      <c r="AO123" s="616"/>
      <c r="AP123" s="616"/>
      <c r="AQ123" s="616"/>
      <c r="AR123" s="616"/>
      <c r="AS123" s="616"/>
      <c r="AT123" s="616"/>
      <c r="AU123" s="616"/>
      <c r="AV123" s="616"/>
      <c r="AW123" s="616"/>
      <c r="AX123" s="620"/>
      <c r="AY123" s="620"/>
      <c r="AZ123" s="620"/>
      <c r="BA123" s="620"/>
      <c r="BB123" s="620"/>
      <c r="BC123" s="616"/>
      <c r="BD123" s="616"/>
      <c r="BE123" s="616"/>
      <c r="BF123" s="620"/>
      <c r="BG123" s="620"/>
      <c r="BH123" s="620"/>
      <c r="BI123" s="616"/>
      <c r="BJ123" s="616"/>
      <c r="BK123" s="616"/>
      <c r="BL123" s="620"/>
      <c r="BM123" s="620"/>
      <c r="BN123" s="620"/>
      <c r="BO123" s="616"/>
      <c r="BP123" s="616"/>
      <c r="BQ123" s="616"/>
      <c r="BR123" s="470"/>
    </row>
    <row r="124" spans="2:70" ht="6" customHeight="1">
      <c r="O124" s="341"/>
      <c r="P124" s="341"/>
      <c r="AG124" s="617"/>
      <c r="AH124" s="618"/>
      <c r="AI124" s="618"/>
      <c r="AJ124" s="618"/>
      <c r="AK124" s="618"/>
      <c r="AL124" s="618"/>
      <c r="AM124" s="618"/>
      <c r="AN124" s="618"/>
      <c r="AO124" s="618"/>
      <c r="AP124" s="618"/>
      <c r="AQ124" s="618"/>
      <c r="AR124" s="618"/>
      <c r="AS124" s="618"/>
      <c r="AT124" s="618"/>
      <c r="AU124" s="618"/>
      <c r="AV124" s="618"/>
      <c r="AW124" s="618"/>
      <c r="AX124" s="621"/>
      <c r="AY124" s="621"/>
      <c r="AZ124" s="621"/>
      <c r="BA124" s="621"/>
      <c r="BB124" s="621"/>
      <c r="BC124" s="618"/>
      <c r="BD124" s="618"/>
      <c r="BE124" s="618"/>
      <c r="BF124" s="621"/>
      <c r="BG124" s="621"/>
      <c r="BH124" s="621"/>
      <c r="BI124" s="618"/>
      <c r="BJ124" s="618"/>
      <c r="BK124" s="618"/>
      <c r="BL124" s="621"/>
      <c r="BM124" s="621"/>
      <c r="BN124" s="621"/>
      <c r="BO124" s="618"/>
      <c r="BP124" s="618"/>
      <c r="BQ124" s="618"/>
      <c r="BR124" s="471"/>
    </row>
    <row r="125" spans="2:70" ht="6" customHeight="1">
      <c r="B125" s="681" t="s">
        <v>3013</v>
      </c>
      <c r="C125" s="682"/>
      <c r="D125" s="682"/>
      <c r="E125" s="682"/>
      <c r="F125" s="682"/>
      <c r="G125" s="682"/>
      <c r="H125" s="682"/>
      <c r="I125" s="682"/>
      <c r="J125" s="682"/>
      <c r="K125" s="682"/>
      <c r="L125" s="682"/>
      <c r="M125" s="682"/>
      <c r="N125" s="682"/>
      <c r="O125" s="682"/>
      <c r="P125" s="682"/>
      <c r="Q125" s="682"/>
      <c r="R125" s="682"/>
      <c r="S125" s="682"/>
      <c r="T125" s="682"/>
      <c r="U125" s="682"/>
      <c r="V125" s="682"/>
      <c r="W125" s="682"/>
      <c r="X125" s="682"/>
      <c r="Y125" s="682"/>
      <c r="Z125" s="682"/>
      <c r="AA125" s="682"/>
      <c r="AB125" s="682"/>
      <c r="AC125" s="682"/>
      <c r="AD125" s="682"/>
      <c r="AE125" s="682"/>
      <c r="AF125" s="682"/>
      <c r="AG125" s="682"/>
      <c r="AH125" s="682"/>
      <c r="AI125" s="682"/>
      <c r="AJ125" s="682"/>
      <c r="AK125" s="682"/>
      <c r="AL125" s="682"/>
      <c r="AM125" s="682"/>
      <c r="AN125" s="682"/>
      <c r="AO125" s="682"/>
      <c r="AP125" s="682"/>
      <c r="AQ125" s="682"/>
      <c r="AR125" s="682"/>
      <c r="AS125" s="682"/>
      <c r="AT125" s="682"/>
      <c r="AU125" s="682"/>
      <c r="AV125" s="682"/>
      <c r="AW125" s="682"/>
      <c r="AX125" s="682"/>
      <c r="AY125" s="682"/>
      <c r="AZ125" s="682"/>
      <c r="BA125" s="682"/>
      <c r="BB125" s="682"/>
      <c r="BC125" s="682"/>
      <c r="BD125" s="682"/>
      <c r="BE125" s="682"/>
      <c r="BF125" s="682"/>
      <c r="BG125" s="682"/>
      <c r="BH125" s="682"/>
      <c r="BI125" s="682"/>
      <c r="BJ125" s="682"/>
      <c r="BK125" s="682"/>
      <c r="BL125" s="682"/>
      <c r="BM125" s="682"/>
      <c r="BN125" s="682"/>
      <c r="BO125" s="682"/>
      <c r="BP125" s="682"/>
      <c r="BQ125" s="682"/>
      <c r="BR125" s="683"/>
    </row>
    <row r="126" spans="2:70" ht="6" customHeight="1">
      <c r="B126" s="635"/>
      <c r="C126" s="636"/>
      <c r="D126" s="636"/>
      <c r="E126" s="636"/>
      <c r="F126" s="636"/>
      <c r="G126" s="636"/>
      <c r="H126" s="636"/>
      <c r="I126" s="636"/>
      <c r="J126" s="636"/>
      <c r="K126" s="636"/>
      <c r="L126" s="636"/>
      <c r="M126" s="636"/>
      <c r="N126" s="636"/>
      <c r="O126" s="636"/>
      <c r="P126" s="636"/>
      <c r="Q126" s="636"/>
      <c r="R126" s="636"/>
      <c r="S126" s="636"/>
      <c r="T126" s="636"/>
      <c r="U126" s="636"/>
      <c r="V126" s="636"/>
      <c r="W126" s="636"/>
      <c r="X126" s="636"/>
      <c r="Y126" s="636"/>
      <c r="Z126" s="636"/>
      <c r="AA126" s="636"/>
      <c r="AB126" s="636"/>
      <c r="AC126" s="636"/>
      <c r="AD126" s="636"/>
      <c r="AE126" s="636"/>
      <c r="AF126" s="636"/>
      <c r="AG126" s="636"/>
      <c r="AH126" s="636"/>
      <c r="AI126" s="636"/>
      <c r="AJ126" s="636"/>
      <c r="AK126" s="636"/>
      <c r="AL126" s="636"/>
      <c r="AM126" s="636"/>
      <c r="AN126" s="636"/>
      <c r="AO126" s="636"/>
      <c r="AP126" s="636"/>
      <c r="AQ126" s="636"/>
      <c r="AR126" s="636"/>
      <c r="AS126" s="636"/>
      <c r="AT126" s="636"/>
      <c r="AU126" s="636"/>
      <c r="AV126" s="636"/>
      <c r="AW126" s="636"/>
      <c r="AX126" s="636"/>
      <c r="AY126" s="636"/>
      <c r="AZ126" s="636"/>
      <c r="BA126" s="636"/>
      <c r="BB126" s="636"/>
      <c r="BC126" s="636"/>
      <c r="BD126" s="636"/>
      <c r="BE126" s="636"/>
      <c r="BF126" s="636"/>
      <c r="BG126" s="636"/>
      <c r="BH126" s="636"/>
      <c r="BI126" s="636"/>
      <c r="BJ126" s="636"/>
      <c r="BK126" s="636"/>
      <c r="BL126" s="636"/>
      <c r="BM126" s="636"/>
      <c r="BN126" s="636"/>
      <c r="BO126" s="636"/>
      <c r="BP126" s="636"/>
      <c r="BQ126" s="636"/>
      <c r="BR126" s="637"/>
    </row>
    <row r="127" spans="2:70" ht="6" customHeight="1">
      <c r="B127" s="635"/>
      <c r="C127" s="636"/>
      <c r="D127" s="636"/>
      <c r="E127" s="636"/>
      <c r="F127" s="636"/>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636"/>
      <c r="AK127" s="636"/>
      <c r="AL127" s="636"/>
      <c r="AM127" s="636"/>
      <c r="AN127" s="636"/>
      <c r="AO127" s="636"/>
      <c r="AP127" s="636"/>
      <c r="AQ127" s="636"/>
      <c r="AR127" s="636"/>
      <c r="AS127" s="636"/>
      <c r="AT127" s="636"/>
      <c r="AU127" s="636"/>
      <c r="AV127" s="636"/>
      <c r="AW127" s="636"/>
      <c r="AX127" s="636"/>
      <c r="AY127" s="636"/>
      <c r="AZ127" s="636"/>
      <c r="BA127" s="636"/>
      <c r="BB127" s="636"/>
      <c r="BC127" s="636"/>
      <c r="BD127" s="636"/>
      <c r="BE127" s="636"/>
      <c r="BF127" s="636"/>
      <c r="BG127" s="636"/>
      <c r="BH127" s="636"/>
      <c r="BI127" s="636"/>
      <c r="BJ127" s="636"/>
      <c r="BK127" s="636"/>
      <c r="BL127" s="636"/>
      <c r="BM127" s="636"/>
      <c r="BN127" s="636"/>
      <c r="BO127" s="636"/>
      <c r="BP127" s="636"/>
      <c r="BQ127" s="636"/>
      <c r="BR127" s="637"/>
    </row>
    <row r="128" spans="2:70" ht="6" customHeight="1">
      <c r="B128" s="635"/>
      <c r="C128" s="636"/>
      <c r="D128" s="636"/>
      <c r="E128" s="636"/>
      <c r="F128" s="636"/>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636"/>
      <c r="AK128" s="636"/>
      <c r="AL128" s="636"/>
      <c r="AM128" s="636"/>
      <c r="AN128" s="636"/>
      <c r="AO128" s="636"/>
      <c r="AP128" s="636"/>
      <c r="AQ128" s="636"/>
      <c r="AR128" s="636"/>
      <c r="AS128" s="636"/>
      <c r="AT128" s="636"/>
      <c r="AU128" s="636"/>
      <c r="AV128" s="636"/>
      <c r="AW128" s="636"/>
      <c r="AX128" s="636"/>
      <c r="AY128" s="636"/>
      <c r="AZ128" s="636"/>
      <c r="BA128" s="636"/>
      <c r="BB128" s="636"/>
      <c r="BC128" s="636"/>
      <c r="BD128" s="636"/>
      <c r="BE128" s="636"/>
      <c r="BF128" s="636"/>
      <c r="BG128" s="636"/>
      <c r="BH128" s="636"/>
      <c r="BI128" s="636"/>
      <c r="BJ128" s="636"/>
      <c r="BK128" s="636"/>
      <c r="BL128" s="636"/>
      <c r="BM128" s="636"/>
      <c r="BN128" s="636"/>
      <c r="BO128" s="636"/>
      <c r="BP128" s="636"/>
      <c r="BQ128" s="636"/>
      <c r="BR128" s="637"/>
    </row>
    <row r="129" spans="2:70" ht="6" customHeight="1">
      <c r="B129" s="348"/>
      <c r="K129" s="377"/>
      <c r="L129" s="347"/>
      <c r="S129" s="661" t="s">
        <v>3012</v>
      </c>
      <c r="T129" s="661"/>
      <c r="U129" s="661"/>
      <c r="V129" s="661"/>
      <c r="W129" s="661"/>
      <c r="X129" s="661"/>
      <c r="Y129" s="661"/>
      <c r="Z129" s="661"/>
      <c r="AA129" s="661"/>
      <c r="AB129" s="378"/>
      <c r="AC129" s="378"/>
      <c r="AD129" s="378"/>
      <c r="AE129" s="378"/>
      <c r="BR129" s="345"/>
    </row>
    <row r="130" spans="2:70" ht="6" customHeight="1">
      <c r="B130" s="348"/>
      <c r="D130" s="378"/>
      <c r="E130" s="378"/>
      <c r="F130" s="661" t="s">
        <v>3011</v>
      </c>
      <c r="G130" s="661"/>
      <c r="H130" s="661"/>
      <c r="I130" s="661"/>
      <c r="J130" s="661"/>
      <c r="K130" s="661"/>
      <c r="L130" s="661"/>
      <c r="M130" s="661"/>
      <c r="N130" s="661"/>
      <c r="O130" s="661"/>
      <c r="P130" s="661"/>
      <c r="Q130" s="661"/>
      <c r="R130" s="379"/>
      <c r="S130" s="661"/>
      <c r="T130" s="661"/>
      <c r="U130" s="661"/>
      <c r="V130" s="661"/>
      <c r="W130" s="661"/>
      <c r="X130" s="661"/>
      <c r="Y130" s="661"/>
      <c r="Z130" s="661"/>
      <c r="AA130" s="661"/>
      <c r="AB130" s="378"/>
      <c r="AC130" s="661" t="s">
        <v>3010</v>
      </c>
      <c r="AD130" s="661"/>
      <c r="AE130" s="661"/>
      <c r="AF130" s="661"/>
      <c r="AG130" s="661"/>
      <c r="AH130" s="661"/>
      <c r="AI130" s="661"/>
      <c r="AJ130" s="661"/>
      <c r="AK130" s="661"/>
      <c r="AL130" s="661"/>
      <c r="AM130" s="661"/>
      <c r="AN130" s="661"/>
      <c r="AO130" s="661"/>
      <c r="AP130" s="661"/>
      <c r="AQ130" s="661"/>
      <c r="AR130" s="661"/>
      <c r="AS130" s="661"/>
      <c r="AT130" s="661"/>
      <c r="AU130" s="661"/>
      <c r="AV130" s="661"/>
      <c r="AW130" s="661"/>
      <c r="AX130" s="661"/>
      <c r="AY130" s="661"/>
      <c r="AZ130" s="661"/>
      <c r="BA130" s="661"/>
      <c r="BB130" s="661"/>
      <c r="BC130" s="661"/>
      <c r="BD130" s="661"/>
      <c r="BE130" s="661"/>
      <c r="BF130" s="661"/>
      <c r="BG130" s="661"/>
      <c r="BH130" s="661"/>
      <c r="BI130" s="661"/>
      <c r="BJ130" s="661"/>
      <c r="BK130" s="661"/>
      <c r="BL130" s="661"/>
      <c r="BM130" s="661"/>
      <c r="BN130" s="661"/>
      <c r="BO130" s="661"/>
      <c r="BP130" s="661"/>
      <c r="BQ130" s="661"/>
      <c r="BR130" s="345"/>
    </row>
    <row r="131" spans="2:70" ht="6" customHeight="1">
      <c r="B131" s="348"/>
      <c r="C131" s="378"/>
      <c r="D131" s="378"/>
      <c r="E131" s="378"/>
      <c r="F131" s="661"/>
      <c r="G131" s="661"/>
      <c r="H131" s="661"/>
      <c r="I131" s="661"/>
      <c r="J131" s="661"/>
      <c r="K131" s="661"/>
      <c r="L131" s="661"/>
      <c r="M131" s="661"/>
      <c r="N131" s="661"/>
      <c r="O131" s="661"/>
      <c r="P131" s="661"/>
      <c r="Q131" s="661"/>
      <c r="R131" s="379"/>
      <c r="S131" s="685" t="s">
        <v>3009</v>
      </c>
      <c r="T131" s="685"/>
      <c r="U131" s="685"/>
      <c r="V131" s="685"/>
      <c r="W131" s="685"/>
      <c r="X131" s="685"/>
      <c r="Y131" s="685"/>
      <c r="Z131" s="685"/>
      <c r="AA131" s="685"/>
      <c r="AB131" s="378"/>
      <c r="AC131" s="661"/>
      <c r="AD131" s="661"/>
      <c r="AE131" s="661"/>
      <c r="AF131" s="661"/>
      <c r="AG131" s="661"/>
      <c r="AH131" s="661"/>
      <c r="AI131" s="661"/>
      <c r="AJ131" s="661"/>
      <c r="AK131" s="661"/>
      <c r="AL131" s="661"/>
      <c r="AM131" s="661"/>
      <c r="AN131" s="661"/>
      <c r="AO131" s="661"/>
      <c r="AP131" s="661"/>
      <c r="AQ131" s="661"/>
      <c r="AR131" s="661"/>
      <c r="AS131" s="661"/>
      <c r="AT131" s="661"/>
      <c r="AU131" s="661"/>
      <c r="AV131" s="661"/>
      <c r="AW131" s="661"/>
      <c r="AX131" s="661"/>
      <c r="AY131" s="661"/>
      <c r="AZ131" s="661"/>
      <c r="BA131" s="661"/>
      <c r="BB131" s="661"/>
      <c r="BC131" s="661"/>
      <c r="BD131" s="661"/>
      <c r="BE131" s="661"/>
      <c r="BF131" s="661"/>
      <c r="BG131" s="661"/>
      <c r="BH131" s="661"/>
      <c r="BI131" s="661"/>
      <c r="BJ131" s="661"/>
      <c r="BK131" s="661"/>
      <c r="BL131" s="661"/>
      <c r="BM131" s="661"/>
      <c r="BN131" s="661"/>
      <c r="BO131" s="661"/>
      <c r="BP131" s="661"/>
      <c r="BQ131" s="661"/>
      <c r="BR131" s="345"/>
    </row>
    <row r="132" spans="2:70" ht="6" customHeight="1">
      <c r="B132" s="348"/>
      <c r="K132" s="377"/>
      <c r="S132" s="685"/>
      <c r="T132" s="685"/>
      <c r="U132" s="685"/>
      <c r="V132" s="685"/>
      <c r="W132" s="685"/>
      <c r="X132" s="685"/>
      <c r="Y132" s="685"/>
      <c r="Z132" s="685"/>
      <c r="AA132" s="685"/>
      <c r="AB132" s="378"/>
      <c r="AC132" s="378"/>
      <c r="AD132" s="378"/>
      <c r="AE132" s="378"/>
      <c r="BR132" s="345"/>
    </row>
    <row r="133" spans="2:70" ht="6" customHeight="1">
      <c r="B133" s="348"/>
      <c r="D133" s="376"/>
      <c r="E133" s="376"/>
      <c r="F133" s="376"/>
      <c r="G133" s="376"/>
      <c r="H133" s="377"/>
      <c r="I133" s="377"/>
      <c r="J133" s="377"/>
      <c r="K133" s="377"/>
      <c r="AI133" s="687" t="str">
        <f ca="1">cst_Pre_Corp__SHINSEI</f>
        <v>一般財団法人静岡県建築住宅まちづくりセンター</v>
      </c>
      <c r="AJ133" s="687"/>
      <c r="AK133" s="687"/>
      <c r="AL133" s="687"/>
      <c r="AM133" s="687"/>
      <c r="AN133" s="687"/>
      <c r="AO133" s="687"/>
      <c r="AP133" s="687"/>
      <c r="AQ133" s="687"/>
      <c r="AR133" s="687"/>
      <c r="AS133" s="687"/>
      <c r="AT133" s="687"/>
      <c r="AU133" s="687"/>
      <c r="AV133" s="687"/>
      <c r="AW133" s="687"/>
      <c r="AX133" s="687"/>
      <c r="AY133" s="687"/>
      <c r="AZ133" s="687"/>
      <c r="BA133" s="687"/>
      <c r="BB133" s="687"/>
      <c r="BC133" s="687"/>
      <c r="BD133" s="687"/>
      <c r="BE133" s="687"/>
      <c r="BF133" s="687"/>
      <c r="BG133" s="687"/>
      <c r="BH133" s="687"/>
      <c r="BI133" s="687"/>
      <c r="BJ133" s="687"/>
      <c r="BK133" s="687"/>
      <c r="BL133" s="687"/>
      <c r="BM133" s="687"/>
      <c r="BN133" s="687"/>
      <c r="BR133" s="345"/>
    </row>
    <row r="134" spans="2:70" ht="6" customHeight="1">
      <c r="B134" s="348"/>
      <c r="C134" s="376"/>
      <c r="D134" s="376"/>
      <c r="E134" s="376"/>
      <c r="F134" s="376"/>
      <c r="G134" s="376"/>
      <c r="H134" s="377"/>
      <c r="I134" s="377"/>
      <c r="J134" s="377"/>
      <c r="K134" s="377"/>
      <c r="AI134" s="687"/>
      <c r="AJ134" s="687"/>
      <c r="AK134" s="687"/>
      <c r="AL134" s="687"/>
      <c r="AM134" s="687"/>
      <c r="AN134" s="687"/>
      <c r="AO134" s="687"/>
      <c r="AP134" s="687"/>
      <c r="AQ134" s="687"/>
      <c r="AR134" s="687"/>
      <c r="AS134" s="687"/>
      <c r="AT134" s="687"/>
      <c r="AU134" s="687"/>
      <c r="AV134" s="687"/>
      <c r="AW134" s="687"/>
      <c r="AX134" s="687"/>
      <c r="AY134" s="687"/>
      <c r="AZ134" s="687"/>
      <c r="BA134" s="687"/>
      <c r="BB134" s="687"/>
      <c r="BC134" s="687"/>
      <c r="BD134" s="687"/>
      <c r="BE134" s="687"/>
      <c r="BF134" s="687"/>
      <c r="BG134" s="687"/>
      <c r="BH134" s="687"/>
      <c r="BI134" s="687"/>
      <c r="BJ134" s="687"/>
      <c r="BK134" s="687"/>
      <c r="BL134" s="687"/>
      <c r="BM134" s="687"/>
      <c r="BN134" s="687"/>
      <c r="BR134" s="345"/>
    </row>
    <row r="135" spans="2:70" ht="6" customHeight="1">
      <c r="B135" s="348"/>
      <c r="C135" s="376"/>
      <c r="D135" s="376"/>
      <c r="E135" s="630" t="s">
        <v>3008</v>
      </c>
      <c r="F135" s="630"/>
      <c r="G135" s="630"/>
      <c r="H135" s="630"/>
      <c r="I135" s="630"/>
      <c r="J135" s="630"/>
      <c r="K135" s="630"/>
      <c r="L135" s="360"/>
      <c r="M135" s="616" t="s">
        <v>2796</v>
      </c>
      <c r="N135" s="616"/>
      <c r="AP135" s="352"/>
      <c r="AQ135" s="352"/>
      <c r="AR135" s="688" t="str">
        <f ca="1">cst_Pre_Daihyou__SHINSEI</f>
        <v>理事長 　柳　敏幸</v>
      </c>
      <c r="AS135" s="688"/>
      <c r="AT135" s="688"/>
      <c r="AU135" s="688"/>
      <c r="AV135" s="688"/>
      <c r="AW135" s="688"/>
      <c r="AX135" s="688"/>
      <c r="AY135" s="688"/>
      <c r="AZ135" s="688"/>
      <c r="BA135" s="688"/>
      <c r="BB135" s="688"/>
      <c r="BC135" s="688"/>
      <c r="BD135" s="688"/>
      <c r="BE135" s="688"/>
      <c r="BF135" s="688"/>
      <c r="BG135" s="688"/>
      <c r="BH135" s="688"/>
      <c r="BI135" s="688"/>
      <c r="BJ135" s="688"/>
      <c r="BK135" s="688"/>
      <c r="BL135" s="688"/>
      <c r="BM135" s="688"/>
      <c r="BO135" s="349"/>
      <c r="BP135" s="349"/>
      <c r="BQ135" s="349"/>
      <c r="BR135" s="345"/>
    </row>
    <row r="136" spans="2:70" ht="6" customHeight="1">
      <c r="B136" s="348"/>
      <c r="E136" s="630"/>
      <c r="F136" s="630"/>
      <c r="G136" s="630"/>
      <c r="H136" s="630"/>
      <c r="I136" s="630"/>
      <c r="J136" s="630"/>
      <c r="K136" s="630"/>
      <c r="L136" s="360"/>
      <c r="M136" s="616"/>
      <c r="N136" s="616"/>
      <c r="AP136" s="352"/>
      <c r="AQ136" s="352"/>
      <c r="AR136" s="688"/>
      <c r="AS136" s="688"/>
      <c r="AT136" s="688"/>
      <c r="AU136" s="688"/>
      <c r="AV136" s="688"/>
      <c r="AW136" s="688"/>
      <c r="AX136" s="688"/>
      <c r="AY136" s="688"/>
      <c r="AZ136" s="688"/>
      <c r="BA136" s="688"/>
      <c r="BB136" s="688"/>
      <c r="BC136" s="688"/>
      <c r="BD136" s="688"/>
      <c r="BE136" s="688"/>
      <c r="BF136" s="688"/>
      <c r="BG136" s="688"/>
      <c r="BH136" s="688"/>
      <c r="BI136" s="688"/>
      <c r="BJ136" s="688"/>
      <c r="BK136" s="688"/>
      <c r="BL136" s="688"/>
      <c r="BM136" s="688"/>
      <c r="BO136" s="349"/>
      <c r="BP136" s="349"/>
      <c r="BQ136" s="349"/>
      <c r="BR136" s="345"/>
    </row>
    <row r="137" spans="2:70" ht="6" customHeight="1">
      <c r="B137" s="348"/>
      <c r="D137" s="341"/>
      <c r="E137" s="341"/>
      <c r="F137" s="341"/>
      <c r="G137" s="341"/>
      <c r="H137" s="341"/>
      <c r="I137" s="341"/>
      <c r="J137" s="341"/>
      <c r="K137" s="341"/>
      <c r="L137" s="341"/>
      <c r="M137" s="341"/>
      <c r="N137" s="341"/>
      <c r="O137" s="341"/>
      <c r="P137" s="341"/>
      <c r="Q137" s="341"/>
      <c r="R137" s="341"/>
      <c r="S137" s="341"/>
      <c r="T137" s="341"/>
      <c r="U137" s="341"/>
      <c r="V137" s="341"/>
      <c r="W137" s="341"/>
      <c r="X137" s="341"/>
      <c r="Y137" s="341"/>
      <c r="Z137" s="341"/>
      <c r="AA137" s="341"/>
      <c r="AB137" s="341"/>
      <c r="AC137" s="341"/>
      <c r="AD137" s="341"/>
      <c r="AE137" s="341"/>
      <c r="AF137" s="341"/>
      <c r="AG137" s="341"/>
      <c r="AH137" s="341"/>
      <c r="AI137" s="341"/>
      <c r="AJ137" s="341"/>
      <c r="AK137" s="341"/>
      <c r="AL137" s="341"/>
      <c r="AM137" s="341"/>
      <c r="AN137" s="341"/>
      <c r="AO137" s="341"/>
      <c r="AP137" s="341"/>
      <c r="AQ137" s="341"/>
      <c r="AR137" s="341"/>
      <c r="AS137" s="341"/>
      <c r="AT137" s="341"/>
      <c r="AU137" s="341"/>
      <c r="AV137" s="341"/>
      <c r="AW137" s="341"/>
      <c r="AX137" s="341"/>
      <c r="AY137" s="341"/>
      <c r="AZ137" s="341"/>
      <c r="BA137" s="341"/>
      <c r="BB137" s="341"/>
      <c r="BC137" s="341"/>
      <c r="BD137" s="341"/>
      <c r="BE137" s="341"/>
      <c r="BF137" s="341"/>
      <c r="BG137" s="341"/>
      <c r="BH137" s="341"/>
      <c r="BI137" s="341"/>
      <c r="BJ137" s="341"/>
      <c r="BK137" s="341"/>
      <c r="BL137" s="341"/>
      <c r="BM137" s="341"/>
      <c r="BN137" s="341"/>
      <c r="BO137" s="341"/>
      <c r="BP137" s="341"/>
      <c r="BQ137" s="341"/>
      <c r="BR137" s="340"/>
    </row>
    <row r="138" spans="2:70" ht="6" customHeight="1">
      <c r="B138" s="613" t="s">
        <v>3007</v>
      </c>
      <c r="C138" s="614"/>
      <c r="D138" s="360"/>
      <c r="E138" s="638" t="s">
        <v>3006</v>
      </c>
      <c r="F138" s="638"/>
      <c r="G138" s="638"/>
      <c r="H138" s="638"/>
      <c r="I138" s="638"/>
      <c r="J138" s="638"/>
      <c r="K138" s="638"/>
      <c r="L138" s="638"/>
      <c r="M138" s="638"/>
      <c r="N138" s="638"/>
      <c r="O138" s="638"/>
      <c r="P138" s="638"/>
      <c r="Q138" s="638"/>
      <c r="R138" s="638"/>
      <c r="S138" s="345"/>
      <c r="AB138" s="610"/>
      <c r="AC138" s="610"/>
      <c r="AD138" s="610"/>
      <c r="AE138" s="610"/>
      <c r="AF138" s="610"/>
      <c r="AG138" s="640" t="s">
        <v>464</v>
      </c>
      <c r="AH138" s="640"/>
      <c r="AI138" s="640"/>
      <c r="AK138" s="610"/>
      <c r="AL138" s="610"/>
      <c r="AM138" s="610"/>
      <c r="AN138" s="610"/>
      <c r="AO138" s="610"/>
      <c r="AP138" s="640" t="s">
        <v>1</v>
      </c>
      <c r="AQ138" s="640"/>
      <c r="AR138" s="640"/>
      <c r="AT138" s="610"/>
      <c r="AU138" s="610"/>
      <c r="AV138" s="610"/>
      <c r="AW138" s="610"/>
      <c r="AX138" s="610"/>
      <c r="AY138" s="640" t="s">
        <v>465</v>
      </c>
      <c r="AZ138" s="640"/>
      <c r="BA138" s="640"/>
      <c r="BR138" s="345"/>
    </row>
    <row r="139" spans="2:70" ht="6" customHeight="1">
      <c r="B139" s="615"/>
      <c r="C139" s="616"/>
      <c r="D139" s="360"/>
      <c r="E139" s="638"/>
      <c r="F139" s="638"/>
      <c r="G139" s="638"/>
      <c r="H139" s="638"/>
      <c r="I139" s="638"/>
      <c r="J139" s="638"/>
      <c r="K139" s="638"/>
      <c r="L139" s="638"/>
      <c r="M139" s="638"/>
      <c r="N139" s="638"/>
      <c r="O139" s="638"/>
      <c r="P139" s="638"/>
      <c r="Q139" s="638"/>
      <c r="R139" s="638"/>
      <c r="S139" s="345"/>
      <c r="AB139" s="611"/>
      <c r="AC139" s="611"/>
      <c r="AD139" s="611"/>
      <c r="AE139" s="611"/>
      <c r="AF139" s="611"/>
      <c r="AG139" s="640"/>
      <c r="AH139" s="640"/>
      <c r="AI139" s="640"/>
      <c r="AK139" s="611"/>
      <c r="AL139" s="611"/>
      <c r="AM139" s="611"/>
      <c r="AN139" s="611"/>
      <c r="AO139" s="611"/>
      <c r="AP139" s="640"/>
      <c r="AQ139" s="640"/>
      <c r="AR139" s="640"/>
      <c r="AT139" s="611"/>
      <c r="AU139" s="611"/>
      <c r="AV139" s="611"/>
      <c r="AW139" s="611"/>
      <c r="AX139" s="611"/>
      <c r="AY139" s="640"/>
      <c r="AZ139" s="640"/>
      <c r="BA139" s="640"/>
      <c r="BR139" s="345"/>
    </row>
    <row r="140" spans="2:70" ht="6" customHeight="1">
      <c r="B140" s="617"/>
      <c r="C140" s="618"/>
      <c r="D140" s="375"/>
      <c r="E140" s="639"/>
      <c r="F140" s="639"/>
      <c r="G140" s="639"/>
      <c r="H140" s="639"/>
      <c r="I140" s="639"/>
      <c r="J140" s="639"/>
      <c r="K140" s="639"/>
      <c r="L140" s="639"/>
      <c r="M140" s="639"/>
      <c r="N140" s="639"/>
      <c r="O140" s="639"/>
      <c r="P140" s="639"/>
      <c r="Q140" s="639"/>
      <c r="R140" s="639"/>
      <c r="S140" s="340"/>
      <c r="T140" s="341"/>
      <c r="U140" s="341"/>
      <c r="V140" s="341"/>
      <c r="W140" s="341"/>
      <c r="X140" s="341"/>
      <c r="Y140" s="341"/>
      <c r="Z140" s="341"/>
      <c r="AA140" s="341"/>
      <c r="AB140" s="612"/>
      <c r="AC140" s="612"/>
      <c r="AD140" s="612"/>
      <c r="AE140" s="612"/>
      <c r="AF140" s="612"/>
      <c r="AG140" s="641"/>
      <c r="AH140" s="641"/>
      <c r="AI140" s="641"/>
      <c r="AJ140" s="341"/>
      <c r="AK140" s="612"/>
      <c r="AL140" s="612"/>
      <c r="AM140" s="612"/>
      <c r="AN140" s="612"/>
      <c r="AO140" s="612"/>
      <c r="AP140" s="641"/>
      <c r="AQ140" s="641"/>
      <c r="AR140" s="641"/>
      <c r="AS140" s="341"/>
      <c r="AT140" s="612"/>
      <c r="AU140" s="612"/>
      <c r="AV140" s="612"/>
      <c r="AW140" s="612"/>
      <c r="AX140" s="612"/>
      <c r="AY140" s="641"/>
      <c r="AZ140" s="641"/>
      <c r="BA140" s="641"/>
      <c r="BB140" s="341"/>
      <c r="BC140" s="341"/>
      <c r="BD140" s="341"/>
      <c r="BE140" s="341"/>
      <c r="BF140" s="341"/>
      <c r="BG140" s="341"/>
      <c r="BH140" s="341"/>
      <c r="BI140" s="341"/>
      <c r="BJ140" s="341"/>
      <c r="BK140" s="341"/>
      <c r="BL140" s="341"/>
      <c r="BM140" s="341"/>
      <c r="BN140" s="341"/>
      <c r="BO140" s="341"/>
      <c r="BP140" s="341"/>
      <c r="BQ140" s="341"/>
      <c r="BR140" s="340"/>
    </row>
    <row r="141" spans="2:70" ht="6" customHeight="1">
      <c r="B141" s="348"/>
      <c r="C141" s="339"/>
      <c r="D141" s="339"/>
      <c r="E141" s="339"/>
      <c r="F141" s="339"/>
      <c r="G141" s="339"/>
      <c r="H141" s="339"/>
      <c r="I141" s="339"/>
      <c r="J141" s="339"/>
      <c r="K141" s="339"/>
      <c r="L141" s="339"/>
      <c r="M141" s="339"/>
      <c r="N141" s="339"/>
      <c r="O141" s="339"/>
      <c r="P141" s="339"/>
      <c r="Q141" s="339"/>
      <c r="R141" s="339"/>
      <c r="S141" s="345"/>
      <c r="BR141" s="345"/>
    </row>
    <row r="142" spans="2:70" ht="6" customHeight="1">
      <c r="B142" s="348"/>
      <c r="C142" s="339"/>
      <c r="D142" s="339"/>
      <c r="E142" s="339"/>
      <c r="F142" s="339"/>
      <c r="G142" s="339"/>
      <c r="H142" s="339"/>
      <c r="I142" s="339"/>
      <c r="J142" s="339"/>
      <c r="K142" s="339"/>
      <c r="L142" s="339"/>
      <c r="M142" s="339"/>
      <c r="N142" s="339"/>
      <c r="O142" s="339"/>
      <c r="P142" s="339"/>
      <c r="Q142" s="339"/>
      <c r="R142" s="339"/>
      <c r="S142" s="345"/>
      <c r="U142" s="644" t="str">
        <f>U20</f>
        <v>静岡県静岡市葵区新伝馬二丁目8-41-101</v>
      </c>
      <c r="V142" s="644"/>
      <c r="W142" s="644"/>
      <c r="X142" s="644"/>
      <c r="Y142" s="644"/>
      <c r="Z142" s="644"/>
      <c r="AA142" s="644"/>
      <c r="AB142" s="644"/>
      <c r="AC142" s="644"/>
      <c r="AD142" s="644"/>
      <c r="AE142" s="644"/>
      <c r="AF142" s="644"/>
      <c r="AG142" s="644"/>
      <c r="AH142" s="644"/>
      <c r="AI142" s="644"/>
      <c r="AJ142" s="644"/>
      <c r="AK142" s="644"/>
      <c r="AL142" s="644"/>
      <c r="AM142" s="644"/>
      <c r="AN142" s="644"/>
      <c r="AO142" s="644"/>
      <c r="AP142" s="644"/>
      <c r="AQ142" s="644"/>
      <c r="AR142" s="644"/>
      <c r="AS142" s="644"/>
      <c r="AT142" s="644"/>
      <c r="AU142" s="644"/>
      <c r="AV142" s="644"/>
      <c r="AW142" s="644"/>
      <c r="AX142" s="644"/>
      <c r="AY142" s="644"/>
      <c r="AZ142" s="644"/>
      <c r="BA142" s="644"/>
      <c r="BB142" s="644"/>
      <c r="BC142" s="644"/>
      <c r="BD142" s="644"/>
      <c r="BE142" s="644"/>
      <c r="BF142" s="644"/>
      <c r="BG142" s="644"/>
      <c r="BH142" s="644"/>
      <c r="BI142" s="644"/>
      <c r="BJ142" s="644"/>
      <c r="BK142" s="644"/>
      <c r="BL142" s="644"/>
      <c r="BM142" s="644"/>
      <c r="BN142" s="644"/>
      <c r="BO142" s="644"/>
      <c r="BP142" s="644"/>
      <c r="BQ142" s="644"/>
      <c r="BR142" s="345"/>
    </row>
    <row r="143" spans="2:70" ht="6" customHeight="1">
      <c r="B143" s="645">
        <v>1</v>
      </c>
      <c r="C143" s="640"/>
      <c r="D143" s="360"/>
      <c r="E143" s="643" t="s">
        <v>3005</v>
      </c>
      <c r="F143" s="643"/>
      <c r="G143" s="643"/>
      <c r="H143" s="643"/>
      <c r="I143" s="643"/>
      <c r="J143" s="643"/>
      <c r="K143" s="643"/>
      <c r="L143" s="643"/>
      <c r="M143" s="643"/>
      <c r="N143" s="643"/>
      <c r="O143" s="643"/>
      <c r="P143" s="643"/>
      <c r="Q143" s="643"/>
      <c r="R143" s="643"/>
      <c r="S143" s="646"/>
      <c r="U143" s="644"/>
      <c r="V143" s="644"/>
      <c r="W143" s="644"/>
      <c r="X143" s="644"/>
      <c r="Y143" s="644"/>
      <c r="Z143" s="644"/>
      <c r="AA143" s="644"/>
      <c r="AB143" s="644"/>
      <c r="AC143" s="644"/>
      <c r="AD143" s="644"/>
      <c r="AE143" s="644"/>
      <c r="AF143" s="644"/>
      <c r="AG143" s="644"/>
      <c r="AH143" s="644"/>
      <c r="AI143" s="644"/>
      <c r="AJ143" s="644"/>
      <c r="AK143" s="644"/>
      <c r="AL143" s="644"/>
      <c r="AM143" s="644"/>
      <c r="AN143" s="644"/>
      <c r="AO143" s="644"/>
      <c r="AP143" s="644"/>
      <c r="AQ143" s="644"/>
      <c r="AR143" s="644"/>
      <c r="AS143" s="644"/>
      <c r="AT143" s="644"/>
      <c r="AU143" s="644"/>
      <c r="AV143" s="644"/>
      <c r="AW143" s="644"/>
      <c r="AX143" s="644"/>
      <c r="AY143" s="644"/>
      <c r="AZ143" s="644"/>
      <c r="BA143" s="644"/>
      <c r="BB143" s="644"/>
      <c r="BC143" s="644"/>
      <c r="BD143" s="644"/>
      <c r="BE143" s="644"/>
      <c r="BF143" s="644"/>
      <c r="BG143" s="644"/>
      <c r="BH143" s="644"/>
      <c r="BI143" s="644"/>
      <c r="BJ143" s="644"/>
      <c r="BK143" s="644"/>
      <c r="BL143" s="644"/>
      <c r="BM143" s="644"/>
      <c r="BN143" s="644"/>
      <c r="BO143" s="644"/>
      <c r="BP143" s="644"/>
      <c r="BQ143" s="644"/>
      <c r="BR143" s="345"/>
    </row>
    <row r="144" spans="2:70" ht="6" customHeight="1">
      <c r="B144" s="645"/>
      <c r="C144" s="640"/>
      <c r="D144" s="360"/>
      <c r="E144" s="643"/>
      <c r="F144" s="643"/>
      <c r="G144" s="643"/>
      <c r="H144" s="643"/>
      <c r="I144" s="643"/>
      <c r="J144" s="643"/>
      <c r="K144" s="643"/>
      <c r="L144" s="643"/>
      <c r="M144" s="643"/>
      <c r="N144" s="643"/>
      <c r="O144" s="643"/>
      <c r="P144" s="643"/>
      <c r="Q144" s="643"/>
      <c r="R144" s="643"/>
      <c r="S144" s="646"/>
      <c r="U144" s="644"/>
      <c r="V144" s="644"/>
      <c r="W144" s="644"/>
      <c r="X144" s="644"/>
      <c r="Y144" s="644"/>
      <c r="Z144" s="644"/>
      <c r="AA144" s="644"/>
      <c r="AB144" s="644"/>
      <c r="AC144" s="644"/>
      <c r="AD144" s="644"/>
      <c r="AE144" s="644"/>
      <c r="AF144" s="644"/>
      <c r="AG144" s="644"/>
      <c r="AH144" s="644"/>
      <c r="AI144" s="644"/>
      <c r="AJ144" s="644"/>
      <c r="AK144" s="644"/>
      <c r="AL144" s="644"/>
      <c r="AM144" s="644"/>
      <c r="AN144" s="644"/>
      <c r="AO144" s="644"/>
      <c r="AP144" s="644"/>
      <c r="AQ144" s="644"/>
      <c r="AR144" s="644"/>
      <c r="AS144" s="644"/>
      <c r="AT144" s="644"/>
      <c r="AU144" s="644"/>
      <c r="AV144" s="644"/>
      <c r="AW144" s="644"/>
      <c r="AX144" s="644"/>
      <c r="AY144" s="644"/>
      <c r="AZ144" s="644"/>
      <c r="BA144" s="644"/>
      <c r="BB144" s="644"/>
      <c r="BC144" s="644"/>
      <c r="BD144" s="644"/>
      <c r="BE144" s="644"/>
      <c r="BF144" s="644"/>
      <c r="BG144" s="644"/>
      <c r="BH144" s="644"/>
      <c r="BI144" s="644"/>
      <c r="BJ144" s="644"/>
      <c r="BK144" s="644"/>
      <c r="BL144" s="644"/>
      <c r="BM144" s="644"/>
      <c r="BN144" s="644"/>
      <c r="BO144" s="644"/>
      <c r="BP144" s="644"/>
      <c r="BQ144" s="644"/>
      <c r="BR144" s="345"/>
    </row>
    <row r="145" spans="2:70" ht="6" customHeight="1">
      <c r="B145" s="645"/>
      <c r="C145" s="640"/>
      <c r="D145" s="360"/>
      <c r="E145" s="643"/>
      <c r="F145" s="643"/>
      <c r="G145" s="643"/>
      <c r="H145" s="643"/>
      <c r="I145" s="643"/>
      <c r="J145" s="643"/>
      <c r="K145" s="643"/>
      <c r="L145" s="643"/>
      <c r="M145" s="643"/>
      <c r="N145" s="643"/>
      <c r="O145" s="643"/>
      <c r="P145" s="643"/>
      <c r="Q145" s="643"/>
      <c r="R145" s="643"/>
      <c r="S145" s="646"/>
      <c r="BR145" s="345"/>
    </row>
    <row r="146" spans="2:70" ht="6" customHeight="1">
      <c r="B146" s="645"/>
      <c r="C146" s="640"/>
      <c r="D146" s="360"/>
      <c r="E146" s="643"/>
      <c r="F146" s="643"/>
      <c r="G146" s="643"/>
      <c r="H146" s="643"/>
      <c r="I146" s="643"/>
      <c r="J146" s="643"/>
      <c r="K146" s="643"/>
      <c r="L146" s="643"/>
      <c r="M146" s="643"/>
      <c r="N146" s="643"/>
      <c r="O146" s="643"/>
      <c r="P146" s="643"/>
      <c r="Q146" s="643"/>
      <c r="R146" s="643"/>
      <c r="S146" s="646"/>
      <c r="U146" s="644" t="str">
        <f>U24</f>
        <v>菅野　幸子</v>
      </c>
      <c r="V146" s="644"/>
      <c r="W146" s="644"/>
      <c r="X146" s="644"/>
      <c r="Y146" s="644"/>
      <c r="Z146" s="644"/>
      <c r="AA146" s="644"/>
      <c r="AB146" s="644"/>
      <c r="AC146" s="644"/>
      <c r="AD146" s="644"/>
      <c r="AE146" s="644"/>
      <c r="AF146" s="644"/>
      <c r="AG146" s="644"/>
      <c r="AH146" s="644"/>
      <c r="AI146" s="644"/>
      <c r="AJ146" s="644"/>
      <c r="AK146" s="644"/>
      <c r="AL146" s="644"/>
      <c r="AM146" s="644"/>
      <c r="AN146" s="644"/>
      <c r="AO146" s="644"/>
      <c r="AP146" s="644"/>
      <c r="AQ146" s="644"/>
      <c r="AR146" s="644"/>
      <c r="AS146" s="644"/>
      <c r="AT146" s="644"/>
      <c r="AU146" s="644"/>
      <c r="AV146" s="644"/>
      <c r="AW146" s="644"/>
      <c r="AX146" s="644"/>
      <c r="AY146" s="644"/>
      <c r="AZ146" s="644"/>
      <c r="BA146" s="644"/>
      <c r="BB146" s="644"/>
      <c r="BC146" s="644"/>
      <c r="BD146" s="644"/>
      <c r="BE146" s="644"/>
      <c r="BF146" s="644"/>
      <c r="BG146" s="644"/>
      <c r="BH146" s="644"/>
      <c r="BI146" s="644"/>
      <c r="BJ146" s="644"/>
      <c r="BK146" s="644"/>
      <c r="BL146" s="644"/>
      <c r="BM146" s="644"/>
      <c r="BN146" s="644"/>
      <c r="BO146" s="644"/>
      <c r="BP146" s="644"/>
      <c r="BQ146" s="644"/>
      <c r="BR146" s="345"/>
    </row>
    <row r="147" spans="2:70" ht="6" customHeight="1">
      <c r="B147" s="645"/>
      <c r="C147" s="640"/>
      <c r="D147" s="360"/>
      <c r="E147" s="643"/>
      <c r="F147" s="643"/>
      <c r="G147" s="643"/>
      <c r="H147" s="643"/>
      <c r="I147" s="643"/>
      <c r="J147" s="643"/>
      <c r="K147" s="643"/>
      <c r="L147" s="643"/>
      <c r="M147" s="643"/>
      <c r="N147" s="643"/>
      <c r="O147" s="643"/>
      <c r="P147" s="643"/>
      <c r="Q147" s="643"/>
      <c r="R147" s="643"/>
      <c r="S147" s="646"/>
      <c r="T147" s="347"/>
      <c r="U147" s="644"/>
      <c r="V147" s="644"/>
      <c r="W147" s="644"/>
      <c r="X147" s="644"/>
      <c r="Y147" s="644"/>
      <c r="Z147" s="644"/>
      <c r="AA147" s="644"/>
      <c r="AB147" s="644"/>
      <c r="AC147" s="644"/>
      <c r="AD147" s="644"/>
      <c r="AE147" s="644"/>
      <c r="AF147" s="644"/>
      <c r="AG147" s="644"/>
      <c r="AH147" s="644"/>
      <c r="AI147" s="644"/>
      <c r="AJ147" s="644"/>
      <c r="AK147" s="644"/>
      <c r="AL147" s="644"/>
      <c r="AM147" s="644"/>
      <c r="AN147" s="644"/>
      <c r="AO147" s="644"/>
      <c r="AP147" s="644"/>
      <c r="AQ147" s="644"/>
      <c r="AR147" s="644"/>
      <c r="AS147" s="644"/>
      <c r="AT147" s="644"/>
      <c r="AU147" s="644"/>
      <c r="AV147" s="644"/>
      <c r="AW147" s="644"/>
      <c r="AX147" s="644"/>
      <c r="AY147" s="644"/>
      <c r="AZ147" s="644"/>
      <c r="BA147" s="644"/>
      <c r="BB147" s="644"/>
      <c r="BC147" s="644"/>
      <c r="BD147" s="644"/>
      <c r="BE147" s="644"/>
      <c r="BF147" s="644"/>
      <c r="BG147" s="644"/>
      <c r="BH147" s="644"/>
      <c r="BI147" s="644"/>
      <c r="BJ147" s="644"/>
      <c r="BK147" s="644"/>
      <c r="BL147" s="644"/>
      <c r="BM147" s="644"/>
      <c r="BN147" s="644"/>
      <c r="BO147" s="644"/>
      <c r="BP147" s="644"/>
      <c r="BQ147" s="644"/>
      <c r="BR147" s="345"/>
    </row>
    <row r="148" spans="2:70" ht="6" customHeight="1">
      <c r="B148" s="645"/>
      <c r="C148" s="640"/>
      <c r="D148" s="360"/>
      <c r="E148" s="643"/>
      <c r="F148" s="643"/>
      <c r="G148" s="643"/>
      <c r="H148" s="643"/>
      <c r="I148" s="643"/>
      <c r="J148" s="643"/>
      <c r="K148" s="643"/>
      <c r="L148" s="643"/>
      <c r="M148" s="643"/>
      <c r="N148" s="643"/>
      <c r="O148" s="643"/>
      <c r="P148" s="643"/>
      <c r="Q148" s="643"/>
      <c r="R148" s="643"/>
      <c r="S148" s="646"/>
      <c r="T148" s="347"/>
      <c r="U148" s="644"/>
      <c r="V148" s="644"/>
      <c r="W148" s="644"/>
      <c r="X148" s="644"/>
      <c r="Y148" s="644"/>
      <c r="Z148" s="644"/>
      <c r="AA148" s="644"/>
      <c r="AB148" s="644"/>
      <c r="AC148" s="644"/>
      <c r="AD148" s="644"/>
      <c r="AE148" s="644"/>
      <c r="AF148" s="644"/>
      <c r="AG148" s="644"/>
      <c r="AH148" s="644"/>
      <c r="AI148" s="644"/>
      <c r="AJ148" s="644"/>
      <c r="AK148" s="644"/>
      <c r="AL148" s="644"/>
      <c r="AM148" s="644"/>
      <c r="AN148" s="644"/>
      <c r="AO148" s="644"/>
      <c r="AP148" s="644"/>
      <c r="AQ148" s="644"/>
      <c r="AR148" s="644"/>
      <c r="AS148" s="644"/>
      <c r="AT148" s="644"/>
      <c r="AU148" s="644"/>
      <c r="AV148" s="644"/>
      <c r="AW148" s="644"/>
      <c r="AX148" s="644"/>
      <c r="AY148" s="644"/>
      <c r="AZ148" s="644"/>
      <c r="BA148" s="644"/>
      <c r="BB148" s="644"/>
      <c r="BC148" s="644"/>
      <c r="BD148" s="644"/>
      <c r="BE148" s="644"/>
      <c r="BF148" s="644"/>
      <c r="BG148" s="644"/>
      <c r="BH148" s="644"/>
      <c r="BI148" s="644"/>
      <c r="BJ148" s="644"/>
      <c r="BK148" s="644"/>
      <c r="BL148" s="644"/>
      <c r="BM148" s="644"/>
      <c r="BN148" s="644"/>
      <c r="BO148" s="644"/>
      <c r="BP148" s="644"/>
      <c r="BQ148" s="644"/>
      <c r="BR148" s="345"/>
    </row>
    <row r="149" spans="2:70" ht="6" customHeight="1">
      <c r="B149" s="344"/>
      <c r="C149" s="341"/>
      <c r="D149" s="341"/>
      <c r="E149" s="341"/>
      <c r="F149" s="341"/>
      <c r="G149" s="341"/>
      <c r="H149" s="341"/>
      <c r="I149" s="341"/>
      <c r="J149" s="341"/>
      <c r="K149" s="341"/>
      <c r="L149" s="341"/>
      <c r="M149" s="341"/>
      <c r="N149" s="341"/>
      <c r="O149" s="341"/>
      <c r="P149" s="341"/>
      <c r="Q149" s="341"/>
      <c r="R149" s="341"/>
      <c r="S149" s="340"/>
      <c r="T149" s="341"/>
      <c r="U149" s="341"/>
      <c r="V149" s="341"/>
      <c r="W149" s="341"/>
      <c r="X149" s="341"/>
      <c r="Y149" s="341"/>
      <c r="Z149" s="341"/>
      <c r="AA149" s="341"/>
      <c r="AB149" s="341"/>
      <c r="AC149" s="341"/>
      <c r="AD149" s="341"/>
      <c r="AE149" s="341"/>
      <c r="AF149" s="341"/>
      <c r="AG149" s="341"/>
      <c r="AH149" s="341"/>
      <c r="AI149" s="341"/>
      <c r="AJ149" s="341"/>
      <c r="AK149" s="341"/>
      <c r="AL149" s="341"/>
      <c r="AM149" s="341"/>
      <c r="AN149" s="341"/>
      <c r="AO149" s="341"/>
      <c r="AP149" s="341"/>
      <c r="AQ149" s="341"/>
      <c r="AR149" s="341"/>
      <c r="AS149" s="341"/>
      <c r="AT149" s="341"/>
      <c r="AU149" s="341"/>
      <c r="AV149" s="341"/>
      <c r="AW149" s="341"/>
      <c r="AX149" s="341"/>
      <c r="AY149" s="341"/>
      <c r="AZ149" s="341"/>
      <c r="BA149" s="341"/>
      <c r="BB149" s="341"/>
      <c r="BC149" s="341"/>
      <c r="BD149" s="341"/>
      <c r="BE149" s="341"/>
      <c r="BF149" s="341"/>
      <c r="BG149" s="341"/>
      <c r="BH149" s="341"/>
      <c r="BI149" s="341"/>
      <c r="BJ149" s="341"/>
      <c r="BK149" s="341"/>
      <c r="BL149" s="341"/>
      <c r="BM149" s="341"/>
      <c r="BN149" s="341"/>
      <c r="BO149" s="341"/>
      <c r="BP149" s="341"/>
      <c r="BQ149" s="341"/>
      <c r="BR149" s="340"/>
    </row>
    <row r="150" spans="2:70" ht="6" customHeight="1">
      <c r="B150" s="348"/>
      <c r="S150" s="345"/>
      <c r="BR150" s="345"/>
    </row>
    <row r="151" spans="2:70" ht="6" customHeight="1">
      <c r="B151" s="348"/>
      <c r="E151" s="647" t="s">
        <v>3004</v>
      </c>
      <c r="F151" s="647"/>
      <c r="G151" s="647"/>
      <c r="H151" s="647"/>
      <c r="I151" s="647"/>
      <c r="J151" s="647"/>
      <c r="K151" s="647"/>
      <c r="L151" s="647"/>
      <c r="M151" s="647"/>
      <c r="N151" s="647"/>
      <c r="O151" s="647"/>
      <c r="P151" s="647"/>
      <c r="Q151" s="647"/>
      <c r="R151" s="647"/>
      <c r="S151" s="648"/>
      <c r="U151" s="690" t="str">
        <f>U29&amp;""</f>
        <v/>
      </c>
      <c r="V151" s="690"/>
      <c r="W151" s="690"/>
      <c r="X151" s="690"/>
      <c r="Y151" s="690"/>
      <c r="Z151" s="690"/>
      <c r="AA151" s="690"/>
      <c r="AB151" s="690"/>
      <c r="AC151" s="690"/>
      <c r="AD151" s="690"/>
      <c r="AE151" s="690"/>
      <c r="AF151" s="690"/>
      <c r="AG151" s="690"/>
      <c r="AH151" s="690"/>
      <c r="AI151" s="690"/>
      <c r="AJ151" s="690"/>
      <c r="AK151" s="690"/>
      <c r="AL151" s="690"/>
      <c r="AM151" s="690"/>
      <c r="AN151" s="690"/>
      <c r="AO151" s="690"/>
      <c r="AP151" s="690"/>
      <c r="AQ151" s="690"/>
      <c r="AR151" s="690"/>
      <c r="AS151" s="690"/>
      <c r="AT151" s="690"/>
      <c r="AU151" s="690"/>
      <c r="AV151" s="690"/>
      <c r="AW151" s="690"/>
      <c r="AX151" s="690"/>
      <c r="AY151" s="690"/>
      <c r="AZ151" s="690"/>
      <c r="BA151" s="690"/>
      <c r="BB151" s="690"/>
      <c r="BC151" s="690"/>
      <c r="BD151" s="690"/>
      <c r="BE151" s="690"/>
      <c r="BF151" s="690"/>
      <c r="BG151" s="690"/>
      <c r="BH151" s="690"/>
      <c r="BI151" s="690"/>
      <c r="BJ151" s="690"/>
      <c r="BK151" s="690"/>
      <c r="BL151" s="690"/>
      <c r="BM151" s="690"/>
      <c r="BN151" s="690"/>
      <c r="BO151" s="690"/>
      <c r="BP151" s="690"/>
      <c r="BQ151" s="690"/>
      <c r="BR151" s="345"/>
    </row>
    <row r="152" spans="2:70" ht="6" customHeight="1">
      <c r="B152" s="348"/>
      <c r="E152" s="647"/>
      <c r="F152" s="647"/>
      <c r="G152" s="647"/>
      <c r="H152" s="647"/>
      <c r="I152" s="647"/>
      <c r="J152" s="647"/>
      <c r="K152" s="647"/>
      <c r="L152" s="647"/>
      <c r="M152" s="647"/>
      <c r="N152" s="647"/>
      <c r="O152" s="647"/>
      <c r="P152" s="647"/>
      <c r="Q152" s="647"/>
      <c r="R152" s="647"/>
      <c r="S152" s="648"/>
      <c r="U152" s="690"/>
      <c r="V152" s="690"/>
      <c r="W152" s="690"/>
      <c r="X152" s="690"/>
      <c r="Y152" s="690"/>
      <c r="Z152" s="690"/>
      <c r="AA152" s="690"/>
      <c r="AB152" s="690"/>
      <c r="AC152" s="690"/>
      <c r="AD152" s="690"/>
      <c r="AE152" s="690"/>
      <c r="AF152" s="690"/>
      <c r="AG152" s="690"/>
      <c r="AH152" s="690"/>
      <c r="AI152" s="690"/>
      <c r="AJ152" s="690"/>
      <c r="AK152" s="690"/>
      <c r="AL152" s="690"/>
      <c r="AM152" s="690"/>
      <c r="AN152" s="690"/>
      <c r="AO152" s="690"/>
      <c r="AP152" s="690"/>
      <c r="AQ152" s="690"/>
      <c r="AR152" s="690"/>
      <c r="AS152" s="690"/>
      <c r="AT152" s="690"/>
      <c r="AU152" s="690"/>
      <c r="AV152" s="690"/>
      <c r="AW152" s="690"/>
      <c r="AX152" s="690"/>
      <c r="AY152" s="690"/>
      <c r="AZ152" s="690"/>
      <c r="BA152" s="690"/>
      <c r="BB152" s="690"/>
      <c r="BC152" s="690"/>
      <c r="BD152" s="690"/>
      <c r="BE152" s="690"/>
      <c r="BF152" s="690"/>
      <c r="BG152" s="690"/>
      <c r="BH152" s="690"/>
      <c r="BI152" s="690"/>
      <c r="BJ152" s="690"/>
      <c r="BK152" s="690"/>
      <c r="BL152" s="690"/>
      <c r="BM152" s="690"/>
      <c r="BN152" s="690"/>
      <c r="BO152" s="690"/>
      <c r="BP152" s="690"/>
      <c r="BQ152" s="690"/>
      <c r="BR152" s="345"/>
    </row>
    <row r="153" spans="2:70" ht="6" customHeight="1">
      <c r="B153" s="645">
        <v>2</v>
      </c>
      <c r="C153" s="640"/>
      <c r="E153" s="647"/>
      <c r="F153" s="647"/>
      <c r="G153" s="647"/>
      <c r="H153" s="647"/>
      <c r="I153" s="647"/>
      <c r="J153" s="647"/>
      <c r="K153" s="647"/>
      <c r="L153" s="647"/>
      <c r="M153" s="647"/>
      <c r="N153" s="647"/>
      <c r="O153" s="647"/>
      <c r="P153" s="647"/>
      <c r="Q153" s="647"/>
      <c r="R153" s="647"/>
      <c r="S153" s="648"/>
      <c r="U153" s="690"/>
      <c r="V153" s="690"/>
      <c r="W153" s="690"/>
      <c r="X153" s="690"/>
      <c r="Y153" s="690"/>
      <c r="Z153" s="690"/>
      <c r="AA153" s="690"/>
      <c r="AB153" s="690"/>
      <c r="AC153" s="690"/>
      <c r="AD153" s="690"/>
      <c r="AE153" s="690"/>
      <c r="AF153" s="690"/>
      <c r="AG153" s="690"/>
      <c r="AH153" s="690"/>
      <c r="AI153" s="690"/>
      <c r="AJ153" s="690"/>
      <c r="AK153" s="690"/>
      <c r="AL153" s="690"/>
      <c r="AM153" s="690"/>
      <c r="AN153" s="690"/>
      <c r="AO153" s="690"/>
      <c r="AP153" s="690"/>
      <c r="AQ153" s="690"/>
      <c r="AR153" s="690"/>
      <c r="AS153" s="690"/>
      <c r="AT153" s="690"/>
      <c r="AU153" s="690"/>
      <c r="AV153" s="690"/>
      <c r="AW153" s="690"/>
      <c r="AX153" s="690"/>
      <c r="AY153" s="690"/>
      <c r="AZ153" s="690"/>
      <c r="BA153" s="690"/>
      <c r="BB153" s="690"/>
      <c r="BC153" s="690"/>
      <c r="BD153" s="690"/>
      <c r="BE153" s="690"/>
      <c r="BF153" s="690"/>
      <c r="BG153" s="690"/>
      <c r="BH153" s="690"/>
      <c r="BI153" s="690"/>
      <c r="BJ153" s="690"/>
      <c r="BK153" s="690"/>
      <c r="BL153" s="690"/>
      <c r="BM153" s="690"/>
      <c r="BN153" s="690"/>
      <c r="BO153" s="690"/>
      <c r="BP153" s="690"/>
      <c r="BQ153" s="690"/>
      <c r="BR153" s="345"/>
    </row>
    <row r="154" spans="2:70" ht="6" customHeight="1">
      <c r="B154" s="645"/>
      <c r="C154" s="640"/>
      <c r="E154" s="368"/>
      <c r="F154" s="368"/>
      <c r="G154" s="368"/>
      <c r="H154" s="368"/>
      <c r="I154" s="368"/>
      <c r="J154" s="368"/>
      <c r="K154" s="368"/>
      <c r="L154" s="368"/>
      <c r="M154" s="368"/>
      <c r="N154" s="368"/>
      <c r="O154" s="368"/>
      <c r="P154" s="368"/>
      <c r="Q154" s="368"/>
      <c r="R154" s="368"/>
      <c r="S154" s="374"/>
      <c r="U154" s="373"/>
      <c r="V154" s="373"/>
      <c r="W154" s="373"/>
      <c r="X154" s="373"/>
      <c r="Y154" s="373"/>
      <c r="Z154" s="373"/>
      <c r="AA154" s="373"/>
      <c r="AB154" s="373"/>
      <c r="AC154" s="373"/>
      <c r="AD154" s="373"/>
      <c r="AE154" s="373"/>
      <c r="AF154" s="373"/>
      <c r="AG154" s="373"/>
      <c r="AH154" s="373"/>
      <c r="AI154" s="373"/>
      <c r="AJ154" s="373"/>
      <c r="AK154" s="373"/>
      <c r="AL154" s="373"/>
      <c r="AM154" s="373"/>
      <c r="AN154" s="373"/>
      <c r="AS154" s="352"/>
      <c r="AT154" s="352"/>
      <c r="AU154" s="352"/>
      <c r="AV154" s="352"/>
      <c r="AW154" s="352"/>
      <c r="AX154" s="352"/>
      <c r="AY154" s="352"/>
      <c r="AZ154" s="352"/>
      <c r="BA154" s="352"/>
      <c r="BB154" s="352"/>
      <c r="BC154" s="352"/>
      <c r="BD154" s="352"/>
      <c r="BE154" s="352"/>
      <c r="BF154" s="352"/>
      <c r="BG154" s="352"/>
      <c r="BH154" s="352"/>
      <c r="BI154" s="352"/>
      <c r="BJ154" s="352"/>
      <c r="BK154" s="352"/>
      <c r="BL154" s="352"/>
      <c r="BM154" s="352"/>
      <c r="BN154" s="352"/>
      <c r="BO154" s="352"/>
      <c r="BP154" s="352"/>
      <c r="BR154" s="345"/>
    </row>
    <row r="155" spans="2:70" ht="6" customHeight="1">
      <c r="B155" s="645"/>
      <c r="C155" s="640"/>
      <c r="E155" s="650" t="s">
        <v>3003</v>
      </c>
      <c r="F155" s="650"/>
      <c r="G155" s="650"/>
      <c r="H155" s="650"/>
      <c r="I155" s="650"/>
      <c r="J155" s="650"/>
      <c r="K155" s="650"/>
      <c r="L155" s="650"/>
      <c r="M155" s="650"/>
      <c r="N155" s="650"/>
      <c r="O155" s="650"/>
      <c r="P155" s="650"/>
      <c r="Q155" s="650"/>
      <c r="R155" s="650"/>
      <c r="S155" s="651"/>
      <c r="U155" s="687" t="str">
        <f>U33&amp;""</f>
        <v/>
      </c>
      <c r="V155" s="687"/>
      <c r="W155" s="687"/>
      <c r="X155" s="687"/>
      <c r="Y155" s="687"/>
      <c r="Z155" s="687"/>
      <c r="AA155" s="687"/>
      <c r="AB155" s="687"/>
      <c r="AC155" s="687"/>
      <c r="AD155" s="687"/>
      <c r="AE155" s="687"/>
      <c r="AF155" s="687"/>
      <c r="AG155" s="687"/>
      <c r="AH155" s="687"/>
      <c r="AI155" s="687"/>
      <c r="AJ155" s="687"/>
      <c r="AK155" s="687"/>
      <c r="AL155" s="687"/>
      <c r="AM155" s="687"/>
      <c r="AN155" s="687"/>
      <c r="AO155" s="687"/>
      <c r="AP155" s="687"/>
      <c r="AQ155" s="687"/>
      <c r="AR155" s="687"/>
      <c r="AS155" s="687"/>
      <c r="AT155" s="687"/>
      <c r="AU155" s="687"/>
      <c r="AV155" s="687"/>
      <c r="AW155" s="687"/>
      <c r="AX155" s="687"/>
      <c r="AY155" s="687"/>
      <c r="AZ155" s="687"/>
      <c r="BA155" s="687"/>
      <c r="BB155" s="687"/>
      <c r="BC155" s="687"/>
      <c r="BD155" s="687"/>
      <c r="BE155" s="687"/>
      <c r="BF155" s="687"/>
      <c r="BG155" s="687"/>
      <c r="BH155" s="687"/>
      <c r="BI155" s="687"/>
      <c r="BJ155" s="687"/>
      <c r="BK155" s="687"/>
      <c r="BL155" s="687"/>
      <c r="BM155" s="687"/>
      <c r="BN155" s="687"/>
      <c r="BO155" s="687"/>
      <c r="BP155" s="687"/>
      <c r="BQ155" s="687"/>
      <c r="BR155" s="345"/>
    </row>
    <row r="156" spans="2:70" ht="6" customHeight="1">
      <c r="B156" s="645"/>
      <c r="C156" s="640"/>
      <c r="E156" s="650"/>
      <c r="F156" s="650"/>
      <c r="G156" s="650"/>
      <c r="H156" s="650"/>
      <c r="I156" s="650"/>
      <c r="J156" s="650"/>
      <c r="K156" s="650"/>
      <c r="L156" s="650"/>
      <c r="M156" s="650"/>
      <c r="N156" s="650"/>
      <c r="O156" s="650"/>
      <c r="P156" s="650"/>
      <c r="Q156" s="650"/>
      <c r="R156" s="650"/>
      <c r="S156" s="651"/>
      <c r="U156" s="687"/>
      <c r="V156" s="687"/>
      <c r="W156" s="687"/>
      <c r="X156" s="687"/>
      <c r="Y156" s="687"/>
      <c r="Z156" s="687"/>
      <c r="AA156" s="687"/>
      <c r="AB156" s="687"/>
      <c r="AC156" s="687"/>
      <c r="AD156" s="687"/>
      <c r="AE156" s="687"/>
      <c r="AF156" s="687"/>
      <c r="AG156" s="687"/>
      <c r="AH156" s="687"/>
      <c r="AI156" s="687"/>
      <c r="AJ156" s="687"/>
      <c r="AK156" s="687"/>
      <c r="AL156" s="687"/>
      <c r="AM156" s="687"/>
      <c r="AN156" s="687"/>
      <c r="AO156" s="687"/>
      <c r="AP156" s="687"/>
      <c r="AQ156" s="687"/>
      <c r="AR156" s="687"/>
      <c r="AS156" s="687"/>
      <c r="AT156" s="687"/>
      <c r="AU156" s="687"/>
      <c r="AV156" s="687"/>
      <c r="AW156" s="687"/>
      <c r="AX156" s="687"/>
      <c r="AY156" s="687"/>
      <c r="AZ156" s="687"/>
      <c r="BA156" s="687"/>
      <c r="BB156" s="687"/>
      <c r="BC156" s="687"/>
      <c r="BD156" s="687"/>
      <c r="BE156" s="687"/>
      <c r="BF156" s="687"/>
      <c r="BG156" s="687"/>
      <c r="BH156" s="687"/>
      <c r="BI156" s="687"/>
      <c r="BJ156" s="687"/>
      <c r="BK156" s="687"/>
      <c r="BL156" s="687"/>
      <c r="BM156" s="687"/>
      <c r="BN156" s="687"/>
      <c r="BO156" s="687"/>
      <c r="BP156" s="687"/>
      <c r="BQ156" s="687"/>
      <c r="BR156" s="345"/>
    </row>
    <row r="157" spans="2:70" ht="6" customHeight="1">
      <c r="B157" s="645"/>
      <c r="C157" s="640"/>
      <c r="E157" s="650"/>
      <c r="F157" s="650"/>
      <c r="G157" s="650"/>
      <c r="H157" s="650"/>
      <c r="I157" s="650"/>
      <c r="J157" s="650"/>
      <c r="K157" s="650"/>
      <c r="L157" s="650"/>
      <c r="M157" s="650"/>
      <c r="N157" s="650"/>
      <c r="O157" s="650"/>
      <c r="P157" s="650"/>
      <c r="Q157" s="650"/>
      <c r="R157" s="650"/>
      <c r="S157" s="651"/>
      <c r="U157" s="687"/>
      <c r="V157" s="687"/>
      <c r="W157" s="687"/>
      <c r="X157" s="687"/>
      <c r="Y157" s="687"/>
      <c r="Z157" s="687"/>
      <c r="AA157" s="687"/>
      <c r="AB157" s="687"/>
      <c r="AC157" s="687"/>
      <c r="AD157" s="687"/>
      <c r="AE157" s="687"/>
      <c r="AF157" s="687"/>
      <c r="AG157" s="687"/>
      <c r="AH157" s="687"/>
      <c r="AI157" s="687"/>
      <c r="AJ157" s="687"/>
      <c r="AK157" s="687"/>
      <c r="AL157" s="687"/>
      <c r="AM157" s="687"/>
      <c r="AN157" s="687"/>
      <c r="AO157" s="687"/>
      <c r="AP157" s="687"/>
      <c r="AQ157" s="687"/>
      <c r="AR157" s="687"/>
      <c r="AS157" s="687"/>
      <c r="AT157" s="687"/>
      <c r="AU157" s="687"/>
      <c r="AV157" s="687"/>
      <c r="AW157" s="687"/>
      <c r="AX157" s="687"/>
      <c r="AY157" s="687"/>
      <c r="AZ157" s="687"/>
      <c r="BA157" s="687"/>
      <c r="BB157" s="687"/>
      <c r="BC157" s="687"/>
      <c r="BD157" s="687"/>
      <c r="BE157" s="687"/>
      <c r="BF157" s="687"/>
      <c r="BG157" s="687"/>
      <c r="BH157" s="687"/>
      <c r="BI157" s="687"/>
      <c r="BJ157" s="687"/>
      <c r="BK157" s="687"/>
      <c r="BL157" s="687"/>
      <c r="BM157" s="687"/>
      <c r="BN157" s="687"/>
      <c r="BO157" s="687"/>
      <c r="BP157" s="687"/>
      <c r="BQ157" s="687"/>
      <c r="BR157" s="345"/>
    </row>
    <row r="158" spans="2:70" ht="6" customHeight="1">
      <c r="B158" s="645"/>
      <c r="C158" s="640"/>
      <c r="S158" s="345"/>
      <c r="BR158" s="345"/>
    </row>
    <row r="159" spans="2:70" ht="6" customHeight="1">
      <c r="B159" s="645"/>
      <c r="C159" s="640"/>
      <c r="S159" s="345"/>
      <c r="U159" s="630" t="s">
        <v>3002</v>
      </c>
      <c r="V159" s="630"/>
      <c r="W159" s="630"/>
      <c r="X159" s="630"/>
      <c r="Y159" s="630"/>
      <c r="Z159" s="630"/>
      <c r="AA159" s="630"/>
      <c r="AB159" s="630"/>
      <c r="AC159" s="630"/>
      <c r="AD159" s="630"/>
      <c r="AE159" s="630"/>
      <c r="AF159" s="630"/>
      <c r="AG159" s="689" t="str">
        <f>AG37&amp;""</f>
        <v/>
      </c>
      <c r="AH159" s="689"/>
      <c r="AI159" s="689"/>
      <c r="AJ159" s="689"/>
      <c r="AK159" s="689"/>
      <c r="AL159" s="689"/>
      <c r="AM159" s="616" t="s">
        <v>3001</v>
      </c>
      <c r="AN159" s="616"/>
      <c r="AO159" s="616"/>
      <c r="AP159" s="616"/>
      <c r="AQ159" s="688" t="str">
        <f>AQ37&amp;""</f>
        <v/>
      </c>
      <c r="AR159" s="688"/>
      <c r="AS159" s="688"/>
      <c r="AT159" s="688" t="str">
        <f>AT37&amp;""</f>
        <v/>
      </c>
      <c r="AU159" s="688"/>
      <c r="AV159" s="688"/>
      <c r="AW159" s="630" t="s">
        <v>51</v>
      </c>
      <c r="AX159" s="630"/>
      <c r="AY159" s="352"/>
      <c r="AZ159" s="352"/>
      <c r="BA159" s="643" t="s">
        <v>2999</v>
      </c>
      <c r="BB159" s="643"/>
      <c r="BC159" s="688" t="str">
        <f>BC37&amp;""</f>
        <v/>
      </c>
      <c r="BD159" s="688"/>
      <c r="BE159" s="688"/>
      <c r="BF159" s="688"/>
      <c r="BG159" s="688"/>
      <c r="BH159" s="688"/>
      <c r="BI159" s="688"/>
      <c r="BJ159" s="688"/>
      <c r="BK159" s="688"/>
      <c r="BL159" s="688"/>
      <c r="BM159" s="688"/>
      <c r="BN159" s="688"/>
      <c r="BO159" s="616" t="s">
        <v>466</v>
      </c>
      <c r="BP159" s="616"/>
      <c r="BR159" s="345"/>
    </row>
    <row r="160" spans="2:70" ht="6" customHeight="1">
      <c r="B160" s="348"/>
      <c r="S160" s="345"/>
      <c r="U160" s="630"/>
      <c r="V160" s="630"/>
      <c r="W160" s="630"/>
      <c r="X160" s="630"/>
      <c r="Y160" s="630"/>
      <c r="Z160" s="630"/>
      <c r="AA160" s="630"/>
      <c r="AB160" s="630"/>
      <c r="AC160" s="630"/>
      <c r="AD160" s="630"/>
      <c r="AE160" s="630"/>
      <c r="AF160" s="630"/>
      <c r="AG160" s="689"/>
      <c r="AH160" s="689"/>
      <c r="AI160" s="689"/>
      <c r="AJ160" s="689"/>
      <c r="AK160" s="689"/>
      <c r="AL160" s="689"/>
      <c r="AM160" s="616"/>
      <c r="AN160" s="616"/>
      <c r="AO160" s="616"/>
      <c r="AP160" s="616"/>
      <c r="AQ160" s="688"/>
      <c r="AR160" s="688"/>
      <c r="AS160" s="688"/>
      <c r="AT160" s="688"/>
      <c r="AU160" s="688"/>
      <c r="AV160" s="688"/>
      <c r="AW160" s="630"/>
      <c r="AX160" s="630"/>
      <c r="AY160" s="352"/>
      <c r="AZ160" s="352"/>
      <c r="BA160" s="643"/>
      <c r="BB160" s="643"/>
      <c r="BC160" s="688"/>
      <c r="BD160" s="688"/>
      <c r="BE160" s="688"/>
      <c r="BF160" s="688"/>
      <c r="BG160" s="688"/>
      <c r="BH160" s="688"/>
      <c r="BI160" s="688"/>
      <c r="BJ160" s="688"/>
      <c r="BK160" s="688"/>
      <c r="BL160" s="688"/>
      <c r="BM160" s="688"/>
      <c r="BN160" s="688"/>
      <c r="BO160" s="616"/>
      <c r="BP160" s="616"/>
      <c r="BR160" s="345"/>
    </row>
    <row r="161" spans="2:70" ht="6" customHeight="1">
      <c r="B161" s="348"/>
      <c r="S161" s="345"/>
      <c r="U161" s="630"/>
      <c r="V161" s="630"/>
      <c r="W161" s="630"/>
      <c r="X161" s="630"/>
      <c r="Y161" s="630"/>
      <c r="Z161" s="630"/>
      <c r="AA161" s="630"/>
      <c r="AB161" s="630"/>
      <c r="AC161" s="630"/>
      <c r="AD161" s="630"/>
      <c r="AE161" s="630"/>
      <c r="AF161" s="630"/>
      <c r="AG161" s="689"/>
      <c r="AH161" s="689"/>
      <c r="AI161" s="689"/>
      <c r="AJ161" s="689"/>
      <c r="AK161" s="689"/>
      <c r="AL161" s="689"/>
      <c r="AM161" s="616"/>
      <c r="AN161" s="616"/>
      <c r="AO161" s="616"/>
      <c r="AP161" s="616"/>
      <c r="AQ161" s="688"/>
      <c r="AR161" s="688"/>
      <c r="AS161" s="688"/>
      <c r="AT161" s="688"/>
      <c r="AU161" s="688"/>
      <c r="AV161" s="688"/>
      <c r="AW161" s="630"/>
      <c r="AX161" s="630"/>
      <c r="AY161" s="352"/>
      <c r="AZ161" s="352"/>
      <c r="BA161" s="643"/>
      <c r="BB161" s="643"/>
      <c r="BC161" s="688"/>
      <c r="BD161" s="688"/>
      <c r="BE161" s="688"/>
      <c r="BF161" s="688"/>
      <c r="BG161" s="688"/>
      <c r="BH161" s="688"/>
      <c r="BI161" s="688"/>
      <c r="BJ161" s="688"/>
      <c r="BK161" s="688"/>
      <c r="BL161" s="688"/>
      <c r="BM161" s="688"/>
      <c r="BN161" s="688"/>
      <c r="BO161" s="616"/>
      <c r="BP161" s="616"/>
      <c r="BR161" s="345"/>
    </row>
    <row r="162" spans="2:70" ht="6" customHeight="1">
      <c r="B162" s="344"/>
      <c r="C162" s="341"/>
      <c r="D162" s="341"/>
      <c r="E162" s="341"/>
      <c r="F162" s="341"/>
      <c r="G162" s="341"/>
      <c r="H162" s="341"/>
      <c r="I162" s="341"/>
      <c r="J162" s="341"/>
      <c r="K162" s="341"/>
      <c r="L162" s="341"/>
      <c r="M162" s="341"/>
      <c r="N162" s="341"/>
      <c r="O162" s="341"/>
      <c r="P162" s="341"/>
      <c r="Q162" s="341"/>
      <c r="R162" s="341"/>
      <c r="S162" s="340"/>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1"/>
      <c r="AP162" s="341"/>
      <c r="AQ162" s="341"/>
      <c r="AR162" s="341"/>
      <c r="AS162" s="341"/>
      <c r="AT162" s="341"/>
      <c r="AU162" s="341"/>
      <c r="AV162" s="341"/>
      <c r="AW162" s="341"/>
      <c r="AX162" s="341"/>
      <c r="AY162" s="341"/>
      <c r="AZ162" s="341"/>
      <c r="BA162" s="341"/>
      <c r="BB162" s="341"/>
      <c r="BC162" s="341"/>
      <c r="BD162" s="341"/>
      <c r="BE162" s="341"/>
      <c r="BF162" s="341"/>
      <c r="BG162" s="341"/>
      <c r="BH162" s="341"/>
      <c r="BI162" s="341"/>
      <c r="BJ162" s="341"/>
      <c r="BK162" s="341"/>
      <c r="BL162" s="341"/>
      <c r="BM162" s="341"/>
      <c r="BN162" s="341"/>
      <c r="BO162" s="341"/>
      <c r="BP162" s="341"/>
      <c r="BQ162" s="341"/>
      <c r="BR162" s="340"/>
    </row>
    <row r="163" spans="2:70" ht="6" customHeight="1">
      <c r="B163" s="348"/>
      <c r="P163" s="372"/>
      <c r="Q163" s="372"/>
      <c r="S163" s="345"/>
      <c r="U163" s="691" t="str">
        <f>U41&amp;""</f>
        <v/>
      </c>
      <c r="V163" s="691"/>
      <c r="W163" s="691"/>
      <c r="X163" s="691"/>
      <c r="Y163" s="691"/>
      <c r="Z163" s="691"/>
      <c r="AA163" s="691"/>
      <c r="AB163" s="691"/>
      <c r="AC163" s="691"/>
      <c r="AD163" s="691"/>
      <c r="AE163" s="691"/>
      <c r="AF163" s="691"/>
      <c r="AG163" s="691"/>
      <c r="AH163" s="691"/>
      <c r="AI163" s="691"/>
      <c r="AJ163" s="691"/>
      <c r="AK163" s="691"/>
      <c r="AL163" s="691"/>
      <c r="AM163" s="691"/>
      <c r="AN163" s="691"/>
      <c r="AP163" s="630" t="s">
        <v>3000</v>
      </c>
      <c r="AQ163" s="630"/>
      <c r="AR163" s="630"/>
      <c r="AS163" s="630"/>
      <c r="AT163" s="630"/>
      <c r="AU163" s="630"/>
      <c r="AV163" s="630"/>
      <c r="AW163" s="630"/>
      <c r="AX163" s="630"/>
      <c r="AY163" s="630"/>
      <c r="AZ163" s="643" t="s">
        <v>2999</v>
      </c>
      <c r="BA163" s="643"/>
      <c r="BB163" s="688" t="str">
        <f>BB41&amp;""</f>
        <v/>
      </c>
      <c r="BC163" s="688"/>
      <c r="BD163" s="688"/>
      <c r="BE163" s="688"/>
      <c r="BF163" s="688"/>
      <c r="BG163" s="688"/>
      <c r="BH163" s="688"/>
      <c r="BI163" s="688"/>
      <c r="BJ163" s="688"/>
      <c r="BK163" s="688"/>
      <c r="BL163" s="688"/>
      <c r="BM163" s="688"/>
      <c r="BN163" s="688"/>
      <c r="BO163" s="616" t="s">
        <v>466</v>
      </c>
      <c r="BP163" s="616"/>
      <c r="BQ163" s="352"/>
      <c r="BR163" s="345"/>
    </row>
    <row r="164" spans="2:70" ht="6" customHeight="1">
      <c r="B164" s="348"/>
      <c r="P164" s="372"/>
      <c r="Q164" s="372"/>
      <c r="S164" s="345"/>
      <c r="U164" s="691"/>
      <c r="V164" s="691"/>
      <c r="W164" s="691"/>
      <c r="X164" s="691"/>
      <c r="Y164" s="691"/>
      <c r="Z164" s="691"/>
      <c r="AA164" s="691"/>
      <c r="AB164" s="691"/>
      <c r="AC164" s="691"/>
      <c r="AD164" s="691"/>
      <c r="AE164" s="691"/>
      <c r="AF164" s="691"/>
      <c r="AG164" s="691"/>
      <c r="AH164" s="691"/>
      <c r="AI164" s="691"/>
      <c r="AJ164" s="691"/>
      <c r="AK164" s="691"/>
      <c r="AL164" s="691"/>
      <c r="AM164" s="691"/>
      <c r="AN164" s="691"/>
      <c r="AP164" s="630"/>
      <c r="AQ164" s="630"/>
      <c r="AR164" s="630"/>
      <c r="AS164" s="630"/>
      <c r="AT164" s="630"/>
      <c r="AU164" s="630"/>
      <c r="AV164" s="630"/>
      <c r="AW164" s="630"/>
      <c r="AX164" s="630"/>
      <c r="AY164" s="630"/>
      <c r="AZ164" s="643"/>
      <c r="BA164" s="643"/>
      <c r="BB164" s="688"/>
      <c r="BC164" s="688"/>
      <c r="BD164" s="688"/>
      <c r="BE164" s="688"/>
      <c r="BF164" s="688"/>
      <c r="BG164" s="688"/>
      <c r="BH164" s="688"/>
      <c r="BI164" s="688"/>
      <c r="BJ164" s="688"/>
      <c r="BK164" s="688"/>
      <c r="BL164" s="688"/>
      <c r="BM164" s="688"/>
      <c r="BN164" s="688"/>
      <c r="BO164" s="616"/>
      <c r="BP164" s="616"/>
      <c r="BQ164" s="352"/>
      <c r="BR164" s="345"/>
    </row>
    <row r="165" spans="2:70" ht="6" customHeight="1">
      <c r="B165" s="645">
        <v>3</v>
      </c>
      <c r="C165" s="640"/>
      <c r="E165" s="638" t="s">
        <v>2998</v>
      </c>
      <c r="F165" s="638"/>
      <c r="G165" s="638"/>
      <c r="H165" s="638"/>
      <c r="I165" s="638"/>
      <c r="J165" s="638"/>
      <c r="K165" s="638"/>
      <c r="L165" s="638"/>
      <c r="M165" s="638"/>
      <c r="N165" s="638"/>
      <c r="O165" s="638"/>
      <c r="P165" s="638"/>
      <c r="Q165" s="638"/>
      <c r="R165" s="638"/>
      <c r="S165" s="345"/>
      <c r="U165" s="691"/>
      <c r="V165" s="691"/>
      <c r="W165" s="691"/>
      <c r="X165" s="691"/>
      <c r="Y165" s="691"/>
      <c r="Z165" s="691"/>
      <c r="AA165" s="691"/>
      <c r="AB165" s="691"/>
      <c r="AC165" s="691"/>
      <c r="AD165" s="691"/>
      <c r="AE165" s="691"/>
      <c r="AF165" s="691"/>
      <c r="AG165" s="691"/>
      <c r="AH165" s="691"/>
      <c r="AI165" s="691"/>
      <c r="AJ165" s="691"/>
      <c r="AK165" s="691"/>
      <c r="AL165" s="691"/>
      <c r="AM165" s="691"/>
      <c r="AN165" s="691"/>
      <c r="AP165" s="630"/>
      <c r="AQ165" s="630"/>
      <c r="AR165" s="630"/>
      <c r="AS165" s="630"/>
      <c r="AT165" s="630"/>
      <c r="AU165" s="630"/>
      <c r="AV165" s="630"/>
      <c r="AW165" s="630"/>
      <c r="AX165" s="630"/>
      <c r="AY165" s="630"/>
      <c r="AZ165" s="643"/>
      <c r="BA165" s="643"/>
      <c r="BB165" s="688"/>
      <c r="BC165" s="688"/>
      <c r="BD165" s="688"/>
      <c r="BE165" s="688"/>
      <c r="BF165" s="688"/>
      <c r="BG165" s="688"/>
      <c r="BH165" s="688"/>
      <c r="BI165" s="688"/>
      <c r="BJ165" s="688"/>
      <c r="BK165" s="688"/>
      <c r="BL165" s="688"/>
      <c r="BM165" s="688"/>
      <c r="BN165" s="688"/>
      <c r="BO165" s="616"/>
      <c r="BP165" s="616"/>
      <c r="BQ165" s="352"/>
      <c r="BR165" s="345"/>
    </row>
    <row r="166" spans="2:70" ht="6" customHeight="1">
      <c r="B166" s="645"/>
      <c r="C166" s="640"/>
      <c r="E166" s="638"/>
      <c r="F166" s="638"/>
      <c r="G166" s="638"/>
      <c r="H166" s="638"/>
      <c r="I166" s="638"/>
      <c r="J166" s="638"/>
      <c r="K166" s="638"/>
      <c r="L166" s="638"/>
      <c r="M166" s="638"/>
      <c r="N166" s="638"/>
      <c r="O166" s="638"/>
      <c r="P166" s="638"/>
      <c r="Q166" s="638"/>
      <c r="R166" s="638"/>
      <c r="S166" s="345"/>
      <c r="U166" s="691"/>
      <c r="V166" s="691"/>
      <c r="W166" s="691"/>
      <c r="X166" s="691"/>
      <c r="Y166" s="691"/>
      <c r="Z166" s="691"/>
      <c r="AA166" s="691"/>
      <c r="AB166" s="691"/>
      <c r="AC166" s="691"/>
      <c r="AD166" s="691"/>
      <c r="AE166" s="691"/>
      <c r="AF166" s="691"/>
      <c r="AG166" s="691"/>
      <c r="AH166" s="691"/>
      <c r="AI166" s="691"/>
      <c r="AJ166" s="691"/>
      <c r="AK166" s="691"/>
      <c r="AL166" s="691"/>
      <c r="AM166" s="691"/>
      <c r="AN166" s="691"/>
      <c r="AP166" s="630"/>
      <c r="AQ166" s="630"/>
      <c r="AR166" s="630"/>
      <c r="AS166" s="630"/>
      <c r="AT166" s="630"/>
      <c r="AU166" s="630"/>
      <c r="AV166" s="630"/>
      <c r="AW166" s="630"/>
      <c r="AX166" s="630"/>
      <c r="AY166" s="630"/>
      <c r="AZ166" s="643"/>
      <c r="BA166" s="643"/>
      <c r="BB166" s="688"/>
      <c r="BC166" s="688"/>
      <c r="BD166" s="688"/>
      <c r="BE166" s="688"/>
      <c r="BF166" s="688"/>
      <c r="BG166" s="688"/>
      <c r="BH166" s="688"/>
      <c r="BI166" s="688"/>
      <c r="BJ166" s="688"/>
      <c r="BK166" s="688"/>
      <c r="BL166" s="688"/>
      <c r="BM166" s="688"/>
      <c r="BN166" s="688"/>
      <c r="BO166" s="616"/>
      <c r="BP166" s="616"/>
      <c r="BQ166" s="352"/>
      <c r="BR166" s="345"/>
    </row>
    <row r="167" spans="2:70" ht="6" customHeight="1">
      <c r="B167" s="348"/>
      <c r="S167" s="345"/>
      <c r="U167" s="691"/>
      <c r="V167" s="691"/>
      <c r="W167" s="691"/>
      <c r="X167" s="691"/>
      <c r="Y167" s="691"/>
      <c r="Z167" s="691"/>
      <c r="AA167" s="691"/>
      <c r="AB167" s="691"/>
      <c r="AC167" s="691"/>
      <c r="AD167" s="691"/>
      <c r="AE167" s="691"/>
      <c r="AF167" s="691"/>
      <c r="AG167" s="691"/>
      <c r="AH167" s="691"/>
      <c r="AI167" s="691"/>
      <c r="AJ167" s="691"/>
      <c r="AK167" s="691"/>
      <c r="AL167" s="691"/>
      <c r="AM167" s="691"/>
      <c r="AN167" s="691"/>
      <c r="AP167" s="630"/>
      <c r="AQ167" s="630"/>
      <c r="AR167" s="630"/>
      <c r="AS167" s="630"/>
      <c r="AT167" s="630"/>
      <c r="AU167" s="630"/>
      <c r="AV167" s="630"/>
      <c r="AW167" s="630"/>
      <c r="AX167" s="630"/>
      <c r="AY167" s="630"/>
      <c r="AZ167" s="643"/>
      <c r="BA167" s="643"/>
      <c r="BB167" s="688"/>
      <c r="BC167" s="688"/>
      <c r="BD167" s="688"/>
      <c r="BE167" s="688"/>
      <c r="BF167" s="688"/>
      <c r="BG167" s="688"/>
      <c r="BH167" s="688"/>
      <c r="BI167" s="688"/>
      <c r="BJ167" s="688"/>
      <c r="BK167" s="688"/>
      <c r="BL167" s="688"/>
      <c r="BM167" s="688"/>
      <c r="BN167" s="688"/>
      <c r="BO167" s="616"/>
      <c r="BP167" s="616"/>
      <c r="BQ167" s="352"/>
      <c r="BR167" s="345"/>
    </row>
    <row r="168" spans="2:70" ht="6" customHeight="1">
      <c r="B168" s="344"/>
      <c r="J168" s="371"/>
      <c r="K168" s="371"/>
      <c r="L168" s="371"/>
      <c r="M168" s="371"/>
      <c r="N168" s="371"/>
      <c r="S168" s="345"/>
      <c r="U168" s="691"/>
      <c r="V168" s="691"/>
      <c r="W168" s="691"/>
      <c r="X168" s="691"/>
      <c r="Y168" s="691"/>
      <c r="Z168" s="691"/>
      <c r="AA168" s="691"/>
      <c r="AB168" s="691"/>
      <c r="AC168" s="691"/>
      <c r="AD168" s="691"/>
      <c r="AE168" s="691"/>
      <c r="AF168" s="691"/>
      <c r="AG168" s="691"/>
      <c r="AH168" s="691"/>
      <c r="AI168" s="691"/>
      <c r="AJ168" s="691"/>
      <c r="AK168" s="691"/>
      <c r="AL168" s="691"/>
      <c r="AM168" s="691"/>
      <c r="AN168" s="691"/>
      <c r="AP168" s="630"/>
      <c r="AQ168" s="630"/>
      <c r="AR168" s="630"/>
      <c r="AS168" s="630"/>
      <c r="AT168" s="630"/>
      <c r="AU168" s="630"/>
      <c r="AV168" s="630"/>
      <c r="AW168" s="630"/>
      <c r="AX168" s="630"/>
      <c r="AY168" s="630"/>
      <c r="AZ168" s="643"/>
      <c r="BA168" s="643"/>
      <c r="BB168" s="688"/>
      <c r="BC168" s="688"/>
      <c r="BD168" s="688"/>
      <c r="BE168" s="688"/>
      <c r="BF168" s="688"/>
      <c r="BG168" s="688"/>
      <c r="BH168" s="688"/>
      <c r="BI168" s="688"/>
      <c r="BJ168" s="688"/>
      <c r="BK168" s="688"/>
      <c r="BL168" s="688"/>
      <c r="BM168" s="688"/>
      <c r="BN168" s="688"/>
      <c r="BO168" s="616"/>
      <c r="BP168" s="616"/>
      <c r="BQ168" s="352"/>
      <c r="BR168" s="345"/>
    </row>
    <row r="169" spans="2:70" ht="6" customHeight="1">
      <c r="B169" s="348"/>
      <c r="C169" s="370"/>
      <c r="D169" s="370"/>
      <c r="E169" s="370"/>
      <c r="F169" s="370"/>
      <c r="G169" s="370"/>
      <c r="H169" s="370"/>
      <c r="I169" s="370"/>
      <c r="J169" s="370"/>
      <c r="K169" s="370"/>
      <c r="L169" s="370"/>
      <c r="M169" s="370"/>
      <c r="N169" s="370"/>
      <c r="O169" s="370"/>
      <c r="P169" s="370"/>
      <c r="Q169" s="370"/>
      <c r="R169" s="370"/>
      <c r="S169" s="369"/>
      <c r="T169" s="370"/>
      <c r="U169" s="370"/>
      <c r="V169" s="370"/>
      <c r="W169" s="370"/>
      <c r="X169" s="370"/>
      <c r="Y169" s="370"/>
      <c r="Z169" s="370"/>
      <c r="AA169" s="370"/>
      <c r="AB169" s="370"/>
      <c r="AC169" s="370"/>
      <c r="AD169" s="370"/>
      <c r="AE169" s="370"/>
      <c r="AF169" s="370"/>
      <c r="AG169" s="370"/>
      <c r="AH169" s="370"/>
      <c r="AI169" s="370"/>
      <c r="AJ169" s="370"/>
      <c r="AK169" s="370"/>
      <c r="AL169" s="370"/>
      <c r="AM169" s="370"/>
      <c r="AN169" s="370"/>
      <c r="AO169" s="370"/>
      <c r="AP169" s="370"/>
      <c r="AQ169" s="370"/>
      <c r="AR169" s="370"/>
      <c r="AS169" s="370"/>
      <c r="AT169" s="370"/>
      <c r="AU169" s="370"/>
      <c r="AV169" s="370"/>
      <c r="AW169" s="370"/>
      <c r="AX169" s="370"/>
      <c r="AY169" s="370"/>
      <c r="AZ169" s="370"/>
      <c r="BA169" s="370"/>
      <c r="BB169" s="370"/>
      <c r="BC169" s="370"/>
      <c r="BD169" s="370"/>
      <c r="BE169" s="370"/>
      <c r="BF169" s="370"/>
      <c r="BG169" s="370"/>
      <c r="BH169" s="370"/>
      <c r="BI169" s="370"/>
      <c r="BJ169" s="370"/>
      <c r="BK169" s="370"/>
      <c r="BL169" s="370"/>
      <c r="BM169" s="370"/>
      <c r="BN169" s="370"/>
      <c r="BO169" s="370"/>
      <c r="BP169" s="370"/>
      <c r="BQ169" s="370"/>
      <c r="BR169" s="369"/>
    </row>
    <row r="170" spans="2:70" ht="6" customHeight="1">
      <c r="B170" s="645">
        <v>4</v>
      </c>
      <c r="C170" s="640"/>
      <c r="E170" s="638" t="s">
        <v>2997</v>
      </c>
      <c r="F170" s="638"/>
      <c r="G170" s="638"/>
      <c r="H170" s="638"/>
      <c r="I170" s="638"/>
      <c r="J170" s="638"/>
      <c r="K170" s="638"/>
      <c r="L170" s="638"/>
      <c r="M170" s="638"/>
      <c r="N170" s="638"/>
      <c r="O170" s="638"/>
      <c r="P170" s="638"/>
      <c r="Q170" s="638"/>
      <c r="R170" s="638"/>
      <c r="S170" s="345"/>
      <c r="U170" s="644" t="str">
        <f>U48&amp;""</f>
        <v>静岡県静岡市葵区平和二丁目215-8</v>
      </c>
      <c r="V170" s="644"/>
      <c r="W170" s="644"/>
      <c r="X170" s="644"/>
      <c r="Y170" s="644"/>
      <c r="Z170" s="644"/>
      <c r="AA170" s="644"/>
      <c r="AB170" s="644"/>
      <c r="AC170" s="644"/>
      <c r="AD170" s="644"/>
      <c r="AE170" s="644"/>
      <c r="AF170" s="644"/>
      <c r="AG170" s="644"/>
      <c r="AH170" s="644"/>
      <c r="AI170" s="644"/>
      <c r="AJ170" s="644"/>
      <c r="AK170" s="644"/>
      <c r="AL170" s="644"/>
      <c r="AM170" s="644"/>
      <c r="AN170" s="644"/>
      <c r="AO170" s="644"/>
      <c r="AP170" s="644"/>
      <c r="AQ170" s="644"/>
      <c r="AR170" s="644"/>
      <c r="AS170" s="644"/>
      <c r="AT170" s="644"/>
      <c r="AU170" s="644"/>
      <c r="AV170" s="644"/>
      <c r="AW170" s="644"/>
      <c r="AX170" s="644"/>
      <c r="AY170" s="644"/>
      <c r="AZ170" s="644"/>
      <c r="BA170" s="644"/>
      <c r="BB170" s="644"/>
      <c r="BC170" s="644"/>
      <c r="BD170" s="644"/>
      <c r="BE170" s="644"/>
      <c r="BF170" s="644"/>
      <c r="BG170" s="644"/>
      <c r="BH170" s="644"/>
      <c r="BI170" s="644"/>
      <c r="BJ170" s="644"/>
      <c r="BK170" s="644"/>
      <c r="BL170" s="644"/>
      <c r="BM170" s="644"/>
      <c r="BN170" s="644"/>
      <c r="BO170" s="644"/>
      <c r="BP170" s="644"/>
      <c r="BQ170" s="644"/>
      <c r="BR170" s="345"/>
    </row>
    <row r="171" spans="2:70" ht="6" customHeight="1">
      <c r="B171" s="645"/>
      <c r="C171" s="640"/>
      <c r="E171" s="638"/>
      <c r="F171" s="638"/>
      <c r="G171" s="638"/>
      <c r="H171" s="638"/>
      <c r="I171" s="638"/>
      <c r="J171" s="638"/>
      <c r="K171" s="638"/>
      <c r="L171" s="638"/>
      <c r="M171" s="638"/>
      <c r="N171" s="638"/>
      <c r="O171" s="638"/>
      <c r="P171" s="638"/>
      <c r="Q171" s="638"/>
      <c r="R171" s="638"/>
      <c r="S171" s="345"/>
      <c r="U171" s="644"/>
      <c r="V171" s="644"/>
      <c r="W171" s="644"/>
      <c r="X171" s="644"/>
      <c r="Y171" s="644"/>
      <c r="Z171" s="644"/>
      <c r="AA171" s="644"/>
      <c r="AB171" s="644"/>
      <c r="AC171" s="644"/>
      <c r="AD171" s="644"/>
      <c r="AE171" s="644"/>
      <c r="AF171" s="644"/>
      <c r="AG171" s="644"/>
      <c r="AH171" s="644"/>
      <c r="AI171" s="644"/>
      <c r="AJ171" s="644"/>
      <c r="AK171" s="644"/>
      <c r="AL171" s="644"/>
      <c r="AM171" s="644"/>
      <c r="AN171" s="644"/>
      <c r="AO171" s="644"/>
      <c r="AP171" s="644"/>
      <c r="AQ171" s="644"/>
      <c r="AR171" s="644"/>
      <c r="AS171" s="644"/>
      <c r="AT171" s="644"/>
      <c r="AU171" s="644"/>
      <c r="AV171" s="644"/>
      <c r="AW171" s="644"/>
      <c r="AX171" s="644"/>
      <c r="AY171" s="644"/>
      <c r="AZ171" s="644"/>
      <c r="BA171" s="644"/>
      <c r="BB171" s="644"/>
      <c r="BC171" s="644"/>
      <c r="BD171" s="644"/>
      <c r="BE171" s="644"/>
      <c r="BF171" s="644"/>
      <c r="BG171" s="644"/>
      <c r="BH171" s="644"/>
      <c r="BI171" s="644"/>
      <c r="BJ171" s="644"/>
      <c r="BK171" s="644"/>
      <c r="BL171" s="644"/>
      <c r="BM171" s="644"/>
      <c r="BN171" s="644"/>
      <c r="BO171" s="644"/>
      <c r="BP171" s="644"/>
      <c r="BQ171" s="644"/>
      <c r="BR171" s="345"/>
    </row>
    <row r="172" spans="2:70" ht="6" customHeight="1">
      <c r="B172" s="645"/>
      <c r="C172" s="640"/>
      <c r="E172" s="638"/>
      <c r="F172" s="638"/>
      <c r="G172" s="638"/>
      <c r="H172" s="638"/>
      <c r="I172" s="638"/>
      <c r="J172" s="638"/>
      <c r="K172" s="638"/>
      <c r="L172" s="638"/>
      <c r="M172" s="638"/>
      <c r="N172" s="638"/>
      <c r="O172" s="638"/>
      <c r="P172" s="638"/>
      <c r="Q172" s="638"/>
      <c r="R172" s="638"/>
      <c r="S172" s="345"/>
      <c r="U172" s="644"/>
      <c r="V172" s="644"/>
      <c r="W172" s="644"/>
      <c r="X172" s="644"/>
      <c r="Y172" s="644"/>
      <c r="Z172" s="644"/>
      <c r="AA172" s="644"/>
      <c r="AB172" s="644"/>
      <c r="AC172" s="644"/>
      <c r="AD172" s="644"/>
      <c r="AE172" s="644"/>
      <c r="AF172" s="644"/>
      <c r="AG172" s="644"/>
      <c r="AH172" s="644"/>
      <c r="AI172" s="644"/>
      <c r="AJ172" s="644"/>
      <c r="AK172" s="644"/>
      <c r="AL172" s="644"/>
      <c r="AM172" s="644"/>
      <c r="AN172" s="644"/>
      <c r="AO172" s="644"/>
      <c r="AP172" s="644"/>
      <c r="AQ172" s="644"/>
      <c r="AR172" s="644"/>
      <c r="AS172" s="644"/>
      <c r="AT172" s="644"/>
      <c r="AU172" s="644"/>
      <c r="AV172" s="644"/>
      <c r="AW172" s="644"/>
      <c r="AX172" s="644"/>
      <c r="AY172" s="644"/>
      <c r="AZ172" s="644"/>
      <c r="BA172" s="644"/>
      <c r="BB172" s="644"/>
      <c r="BC172" s="644"/>
      <c r="BD172" s="644"/>
      <c r="BE172" s="644"/>
      <c r="BF172" s="644"/>
      <c r="BG172" s="644"/>
      <c r="BH172" s="644"/>
      <c r="BI172" s="644"/>
      <c r="BJ172" s="644"/>
      <c r="BK172" s="644"/>
      <c r="BL172" s="644"/>
      <c r="BM172" s="644"/>
      <c r="BN172" s="644"/>
      <c r="BO172" s="644"/>
      <c r="BP172" s="644"/>
      <c r="BQ172" s="644"/>
      <c r="BR172" s="345"/>
    </row>
    <row r="173" spans="2:70" ht="6" customHeight="1">
      <c r="B173" s="344"/>
      <c r="C173" s="341"/>
      <c r="D173" s="341"/>
      <c r="E173" s="341"/>
      <c r="F173" s="341"/>
      <c r="G173" s="341"/>
      <c r="H173" s="341"/>
      <c r="I173" s="341"/>
      <c r="J173" s="341"/>
      <c r="K173" s="341"/>
      <c r="L173" s="341"/>
      <c r="M173" s="341"/>
      <c r="N173" s="341"/>
      <c r="O173" s="341"/>
      <c r="P173" s="341"/>
      <c r="Q173" s="341"/>
      <c r="R173" s="341"/>
      <c r="S173" s="340"/>
      <c r="T173" s="341"/>
      <c r="U173" s="341"/>
      <c r="V173" s="341"/>
      <c r="W173" s="341"/>
      <c r="X173" s="341"/>
      <c r="Y173" s="341"/>
      <c r="Z173" s="341"/>
      <c r="AA173" s="341"/>
      <c r="AB173" s="341"/>
      <c r="AC173" s="341"/>
      <c r="AD173" s="341"/>
      <c r="AE173" s="341"/>
      <c r="AF173" s="341"/>
      <c r="AG173" s="341"/>
      <c r="AH173" s="341"/>
      <c r="AI173" s="341"/>
      <c r="AJ173" s="341"/>
      <c r="AK173" s="341"/>
      <c r="AL173" s="341"/>
      <c r="AM173" s="341"/>
      <c r="AN173" s="341"/>
      <c r="AO173" s="341"/>
      <c r="AP173" s="341"/>
      <c r="AQ173" s="341"/>
      <c r="AR173" s="341"/>
      <c r="AS173" s="341"/>
      <c r="AT173" s="341"/>
      <c r="AU173" s="341"/>
      <c r="AV173" s="341"/>
      <c r="AW173" s="341"/>
      <c r="AX173" s="341"/>
      <c r="AY173" s="341"/>
      <c r="AZ173" s="341"/>
      <c r="BA173" s="341"/>
      <c r="BB173" s="341"/>
      <c r="BC173" s="341"/>
      <c r="BD173" s="341"/>
      <c r="BE173" s="341"/>
      <c r="BF173" s="341"/>
      <c r="BG173" s="341"/>
      <c r="BH173" s="341"/>
      <c r="BI173" s="341"/>
      <c r="BJ173" s="341"/>
      <c r="BK173" s="341"/>
      <c r="BL173" s="341"/>
      <c r="BM173" s="341"/>
      <c r="BN173" s="341"/>
      <c r="BO173" s="341"/>
      <c r="BP173" s="341"/>
      <c r="BQ173" s="341"/>
      <c r="BR173" s="340"/>
    </row>
    <row r="174" spans="2:70" ht="6" customHeight="1">
      <c r="B174" s="348"/>
      <c r="S174" s="345"/>
      <c r="BR174" s="345"/>
    </row>
    <row r="175" spans="2:70" ht="6" customHeight="1">
      <c r="B175" s="645">
        <v>5</v>
      </c>
      <c r="C175" s="640"/>
      <c r="E175" s="638" t="s">
        <v>2996</v>
      </c>
      <c r="F175" s="638"/>
      <c r="G175" s="638"/>
      <c r="H175" s="638"/>
      <c r="I175" s="638"/>
      <c r="J175" s="638"/>
      <c r="K175" s="638"/>
      <c r="L175" s="638"/>
      <c r="M175" s="638"/>
      <c r="N175" s="638"/>
      <c r="O175" s="638"/>
      <c r="P175" s="638"/>
      <c r="Q175" s="638"/>
      <c r="R175" s="638"/>
      <c r="S175" s="345"/>
      <c r="U175" s="660" t="str">
        <f>U53&amp;""</f>
        <v/>
      </c>
      <c r="V175" s="660"/>
      <c r="W175" s="660"/>
      <c r="X175" s="660"/>
      <c r="Y175" s="660"/>
      <c r="Z175" s="660"/>
      <c r="AA175" s="660"/>
      <c r="AB175" s="660"/>
      <c r="AC175" s="660"/>
      <c r="AD175" s="660"/>
      <c r="AE175" s="660"/>
      <c r="AF175" s="660"/>
      <c r="AG175" s="660"/>
      <c r="AH175" s="660"/>
      <c r="AI175" s="660"/>
      <c r="AJ175" s="660"/>
      <c r="AK175" s="660"/>
      <c r="AL175" s="660"/>
      <c r="AM175" s="660"/>
      <c r="AN175" s="660"/>
      <c r="AO175" s="660"/>
      <c r="AP175" s="660"/>
      <c r="AQ175" s="660"/>
      <c r="AR175" s="660"/>
      <c r="AS175" s="660"/>
      <c r="AT175" s="660"/>
      <c r="AU175" s="660"/>
      <c r="AV175" s="660"/>
      <c r="AW175" s="660"/>
      <c r="AX175" s="660"/>
      <c r="AY175" s="660"/>
      <c r="AZ175" s="660"/>
      <c r="BA175" s="660"/>
      <c r="BB175" s="660"/>
      <c r="BC175" s="660"/>
      <c r="BD175" s="660"/>
      <c r="BE175" s="660"/>
      <c r="BF175" s="660"/>
      <c r="BG175" s="660"/>
      <c r="BH175" s="660"/>
      <c r="BI175" s="660"/>
      <c r="BJ175" s="660"/>
      <c r="BK175" s="660"/>
      <c r="BL175" s="660"/>
      <c r="BM175" s="660"/>
      <c r="BN175" s="352"/>
      <c r="BO175" s="352"/>
      <c r="BP175" s="352"/>
      <c r="BQ175" s="352"/>
      <c r="BR175" s="345"/>
    </row>
    <row r="176" spans="2:70" ht="6" customHeight="1">
      <c r="B176" s="645"/>
      <c r="C176" s="640"/>
      <c r="E176" s="638"/>
      <c r="F176" s="638"/>
      <c r="G176" s="638"/>
      <c r="H176" s="638"/>
      <c r="I176" s="638"/>
      <c r="J176" s="638"/>
      <c r="K176" s="638"/>
      <c r="L176" s="638"/>
      <c r="M176" s="638"/>
      <c r="N176" s="638"/>
      <c r="O176" s="638"/>
      <c r="P176" s="638"/>
      <c r="Q176" s="638"/>
      <c r="R176" s="638"/>
      <c r="S176" s="345"/>
      <c r="U176" s="660"/>
      <c r="V176" s="660"/>
      <c r="W176" s="660"/>
      <c r="X176" s="660"/>
      <c r="Y176" s="660"/>
      <c r="Z176" s="660"/>
      <c r="AA176" s="660"/>
      <c r="AB176" s="660"/>
      <c r="AC176" s="660"/>
      <c r="AD176" s="660"/>
      <c r="AE176" s="660"/>
      <c r="AF176" s="660"/>
      <c r="AG176" s="660"/>
      <c r="AH176" s="660"/>
      <c r="AI176" s="660"/>
      <c r="AJ176" s="660"/>
      <c r="AK176" s="660"/>
      <c r="AL176" s="660"/>
      <c r="AM176" s="660"/>
      <c r="AN176" s="660"/>
      <c r="AO176" s="660"/>
      <c r="AP176" s="660"/>
      <c r="AQ176" s="660"/>
      <c r="AR176" s="660"/>
      <c r="AS176" s="660"/>
      <c r="AT176" s="660"/>
      <c r="AU176" s="660"/>
      <c r="AV176" s="660"/>
      <c r="AW176" s="660"/>
      <c r="AX176" s="660"/>
      <c r="AY176" s="660"/>
      <c r="AZ176" s="660"/>
      <c r="BA176" s="660"/>
      <c r="BB176" s="660"/>
      <c r="BC176" s="660"/>
      <c r="BD176" s="660"/>
      <c r="BE176" s="660"/>
      <c r="BF176" s="660"/>
      <c r="BG176" s="660"/>
      <c r="BH176" s="660"/>
      <c r="BI176" s="660"/>
      <c r="BJ176" s="660"/>
      <c r="BK176" s="660"/>
      <c r="BL176" s="660"/>
      <c r="BM176" s="660"/>
      <c r="BN176" s="352"/>
      <c r="BO176" s="352"/>
      <c r="BP176" s="352"/>
      <c r="BQ176" s="352"/>
      <c r="BR176" s="345"/>
    </row>
    <row r="177" spans="1:132" ht="6" customHeight="1">
      <c r="B177" s="645"/>
      <c r="C177" s="640"/>
      <c r="E177" s="638"/>
      <c r="F177" s="638"/>
      <c r="G177" s="638"/>
      <c r="H177" s="638"/>
      <c r="I177" s="638"/>
      <c r="J177" s="638"/>
      <c r="K177" s="638"/>
      <c r="L177" s="638"/>
      <c r="M177" s="638"/>
      <c r="N177" s="638"/>
      <c r="O177" s="638"/>
      <c r="P177" s="638"/>
      <c r="Q177" s="638"/>
      <c r="R177" s="638"/>
      <c r="S177" s="345"/>
      <c r="U177" s="660"/>
      <c r="V177" s="660"/>
      <c r="W177" s="660"/>
      <c r="X177" s="660"/>
      <c r="Y177" s="660"/>
      <c r="Z177" s="660"/>
      <c r="AA177" s="660"/>
      <c r="AB177" s="660"/>
      <c r="AC177" s="660"/>
      <c r="AD177" s="660"/>
      <c r="AE177" s="660"/>
      <c r="AF177" s="660"/>
      <c r="AG177" s="660"/>
      <c r="AH177" s="660"/>
      <c r="AI177" s="660"/>
      <c r="AJ177" s="660"/>
      <c r="AK177" s="660"/>
      <c r="AL177" s="660"/>
      <c r="AM177" s="660"/>
      <c r="AN177" s="660"/>
      <c r="AO177" s="660"/>
      <c r="AP177" s="660"/>
      <c r="AQ177" s="660"/>
      <c r="AR177" s="660"/>
      <c r="AS177" s="660"/>
      <c r="AT177" s="660"/>
      <c r="AU177" s="660"/>
      <c r="AV177" s="660"/>
      <c r="AW177" s="660"/>
      <c r="AX177" s="660"/>
      <c r="AY177" s="660"/>
      <c r="AZ177" s="660"/>
      <c r="BA177" s="660"/>
      <c r="BB177" s="660"/>
      <c r="BC177" s="660"/>
      <c r="BD177" s="660"/>
      <c r="BE177" s="660"/>
      <c r="BF177" s="660"/>
      <c r="BG177" s="660"/>
      <c r="BH177" s="660"/>
      <c r="BI177" s="660"/>
      <c r="BJ177" s="660"/>
      <c r="BK177" s="660"/>
      <c r="BL177" s="660"/>
      <c r="BM177" s="660"/>
      <c r="BN177" s="352"/>
      <c r="BO177" s="352"/>
      <c r="BP177" s="352"/>
      <c r="BQ177" s="352"/>
      <c r="BR177" s="345"/>
    </row>
    <row r="178" spans="1:132" ht="6" customHeight="1">
      <c r="B178" s="344"/>
      <c r="C178" s="341"/>
      <c r="D178" s="341"/>
      <c r="E178" s="341"/>
      <c r="F178" s="341"/>
      <c r="G178" s="341"/>
      <c r="H178" s="341"/>
      <c r="I178" s="341"/>
      <c r="J178" s="341"/>
      <c r="K178" s="341"/>
      <c r="L178" s="341"/>
      <c r="M178" s="341"/>
      <c r="N178" s="341"/>
      <c r="O178" s="341"/>
      <c r="P178" s="341"/>
      <c r="Q178" s="341"/>
      <c r="R178" s="341"/>
      <c r="S178" s="340"/>
      <c r="T178" s="341"/>
      <c r="U178" s="341"/>
      <c r="V178" s="341"/>
      <c r="W178" s="341"/>
      <c r="X178" s="341"/>
      <c r="Y178" s="341"/>
      <c r="Z178" s="341"/>
      <c r="AA178" s="341"/>
      <c r="AB178" s="341"/>
      <c r="AC178" s="341"/>
      <c r="AD178" s="341"/>
      <c r="AE178" s="341"/>
      <c r="AF178" s="341"/>
      <c r="AG178" s="341"/>
      <c r="AH178" s="341"/>
      <c r="AI178" s="341"/>
      <c r="AJ178" s="341"/>
      <c r="AK178" s="341"/>
      <c r="AL178" s="341"/>
      <c r="AM178" s="341"/>
      <c r="AN178" s="341"/>
      <c r="AO178" s="341"/>
      <c r="AP178" s="341"/>
      <c r="AQ178" s="341"/>
      <c r="AR178" s="341"/>
      <c r="AS178" s="341"/>
      <c r="AT178" s="341"/>
      <c r="AU178" s="341"/>
      <c r="AV178" s="341"/>
      <c r="AW178" s="341"/>
      <c r="AX178" s="341"/>
      <c r="AY178" s="341"/>
      <c r="AZ178" s="341"/>
      <c r="BA178" s="341"/>
      <c r="BB178" s="341"/>
      <c r="BC178" s="341"/>
      <c r="BD178" s="341"/>
      <c r="BE178" s="341"/>
      <c r="BF178" s="341"/>
      <c r="BG178" s="341"/>
      <c r="BH178" s="341"/>
      <c r="BI178" s="341"/>
      <c r="BJ178" s="341"/>
      <c r="BK178" s="341"/>
      <c r="BL178" s="341"/>
      <c r="BM178" s="341"/>
      <c r="BN178" s="341"/>
      <c r="BO178" s="341"/>
      <c r="BP178" s="341"/>
      <c r="BQ178" s="341"/>
      <c r="BR178" s="340"/>
    </row>
    <row r="179" spans="1:132" ht="6" customHeight="1">
      <c r="B179" s="355">
        <v>6</v>
      </c>
      <c r="O179" s="347"/>
      <c r="S179" s="345"/>
      <c r="Z179" s="369"/>
      <c r="AG179" s="345"/>
      <c r="BR179" s="345"/>
    </row>
    <row r="180" spans="1:132" ht="6" customHeight="1">
      <c r="B180" s="355"/>
      <c r="O180" s="347"/>
      <c r="S180" s="345"/>
      <c r="Z180" s="345"/>
      <c r="AG180" s="345"/>
      <c r="AI180" s="616" t="s">
        <v>2995</v>
      </c>
      <c r="AJ180" s="616"/>
      <c r="AK180" s="616"/>
      <c r="AL180" s="616"/>
      <c r="AM180" s="692" t="str">
        <f>AM58&amp;""</f>
        <v/>
      </c>
      <c r="AN180" s="692"/>
      <c r="AO180" s="692"/>
      <c r="AP180" s="692"/>
      <c r="AQ180" s="692"/>
      <c r="AR180" s="692"/>
      <c r="AS180" s="692"/>
      <c r="AT180" s="692"/>
      <c r="AU180" s="616" t="s">
        <v>2994</v>
      </c>
      <c r="AV180" s="616"/>
      <c r="AW180" s="616"/>
      <c r="AX180" s="616"/>
      <c r="AY180" s="616"/>
      <c r="AZ180" s="616"/>
      <c r="BA180" s="692" t="str">
        <f>BA58&amp;""</f>
        <v/>
      </c>
      <c r="BB180" s="692"/>
      <c r="BC180" s="692"/>
      <c r="BD180" s="692"/>
      <c r="BE180" s="692"/>
      <c r="BF180" s="692"/>
      <c r="BG180" s="692"/>
      <c r="BH180" s="692"/>
      <c r="BI180" s="692"/>
      <c r="BJ180" s="692"/>
      <c r="BK180" s="692"/>
      <c r="BL180" s="692"/>
      <c r="BM180" s="692"/>
      <c r="BN180" s="692"/>
      <c r="BO180" s="692"/>
      <c r="BP180" s="692"/>
      <c r="BQ180" s="640" t="s">
        <v>4</v>
      </c>
      <c r="BR180" s="345"/>
    </row>
    <row r="181" spans="1:132" ht="6" customHeight="1">
      <c r="B181" s="355"/>
      <c r="O181" s="347"/>
      <c r="S181" s="345"/>
      <c r="Z181" s="345"/>
      <c r="AG181" s="345"/>
      <c r="AI181" s="616"/>
      <c r="AJ181" s="616"/>
      <c r="AK181" s="616"/>
      <c r="AL181" s="616"/>
      <c r="AM181" s="692"/>
      <c r="AN181" s="692"/>
      <c r="AO181" s="692"/>
      <c r="AP181" s="692"/>
      <c r="AQ181" s="692"/>
      <c r="AR181" s="692"/>
      <c r="AS181" s="692"/>
      <c r="AT181" s="692"/>
      <c r="AU181" s="616"/>
      <c r="AV181" s="616"/>
      <c r="AW181" s="616"/>
      <c r="AX181" s="616"/>
      <c r="AY181" s="616"/>
      <c r="AZ181" s="616"/>
      <c r="BA181" s="692"/>
      <c r="BB181" s="692"/>
      <c r="BC181" s="692"/>
      <c r="BD181" s="692"/>
      <c r="BE181" s="692"/>
      <c r="BF181" s="692"/>
      <c r="BG181" s="692"/>
      <c r="BH181" s="692"/>
      <c r="BI181" s="692"/>
      <c r="BJ181" s="692"/>
      <c r="BK181" s="692"/>
      <c r="BL181" s="692"/>
      <c r="BM181" s="692"/>
      <c r="BN181" s="692"/>
      <c r="BO181" s="692"/>
      <c r="BP181" s="692"/>
      <c r="BQ181" s="640"/>
      <c r="BR181" s="345"/>
    </row>
    <row r="182" spans="1:132" ht="6" customHeight="1">
      <c r="B182" s="355"/>
      <c r="O182" s="347"/>
      <c r="S182" s="345"/>
      <c r="Z182" s="345"/>
      <c r="AG182" s="345"/>
      <c r="AH182" s="344"/>
      <c r="AI182" s="341"/>
      <c r="AJ182" s="341"/>
      <c r="AK182" s="341"/>
      <c r="AL182" s="341"/>
      <c r="AM182" s="341"/>
      <c r="AN182" s="341"/>
      <c r="AO182" s="341"/>
      <c r="AP182" s="341"/>
      <c r="AQ182" s="341"/>
      <c r="AR182" s="341"/>
      <c r="AS182" s="341"/>
      <c r="AT182" s="341"/>
      <c r="AU182" s="341"/>
      <c r="AV182" s="341"/>
      <c r="AW182" s="341"/>
      <c r="AX182" s="341"/>
      <c r="AY182" s="341"/>
      <c r="AZ182" s="341"/>
      <c r="BA182" s="341"/>
      <c r="BB182" s="341"/>
      <c r="BC182" s="341"/>
      <c r="BD182" s="341"/>
      <c r="BE182" s="341"/>
      <c r="BF182" s="341"/>
      <c r="BG182" s="341"/>
      <c r="BH182" s="341"/>
      <c r="BI182" s="341"/>
      <c r="BJ182" s="341"/>
      <c r="BK182" s="341"/>
      <c r="BL182" s="341"/>
      <c r="BM182" s="341"/>
      <c r="BN182" s="341"/>
      <c r="BO182" s="341"/>
      <c r="BP182" s="341"/>
      <c r="BQ182" s="341"/>
      <c r="BR182" s="340"/>
    </row>
    <row r="183" spans="1:132" ht="6" customHeight="1">
      <c r="B183" s="645">
        <v>6</v>
      </c>
      <c r="C183" s="640"/>
      <c r="E183" s="638" t="s">
        <v>2993</v>
      </c>
      <c r="F183" s="638"/>
      <c r="G183" s="638"/>
      <c r="H183" s="638"/>
      <c r="I183" s="638"/>
      <c r="J183" s="638"/>
      <c r="K183" s="638"/>
      <c r="L183" s="638"/>
      <c r="M183" s="638"/>
      <c r="N183" s="638"/>
      <c r="O183" s="638"/>
      <c r="P183" s="638"/>
      <c r="Q183" s="638"/>
      <c r="R183" s="638"/>
      <c r="S183" s="345"/>
      <c r="T183" s="693" t="str">
        <f>T61&amp;""</f>
        <v/>
      </c>
      <c r="U183" s="694"/>
      <c r="V183" s="694"/>
      <c r="W183" s="694"/>
      <c r="X183" s="655" t="s">
        <v>2989</v>
      </c>
      <c r="Y183" s="655"/>
      <c r="Z183" s="345"/>
      <c r="AA183" s="616" t="s">
        <v>2992</v>
      </c>
      <c r="AB183" s="616"/>
      <c r="AC183" s="616"/>
      <c r="AD183" s="616"/>
      <c r="AE183" s="616"/>
      <c r="AF183" s="616"/>
      <c r="AG183" s="656"/>
      <c r="AH183" s="368"/>
      <c r="AI183" s="368"/>
      <c r="AJ183" s="368"/>
      <c r="AK183" s="368"/>
      <c r="AL183" s="368"/>
      <c r="AM183" s="368"/>
      <c r="AN183" s="352"/>
      <c r="AO183" s="352"/>
      <c r="AP183" s="352"/>
      <c r="AQ183" s="352"/>
      <c r="AR183" s="352"/>
      <c r="AS183" s="352"/>
      <c r="AT183" s="352"/>
      <c r="AU183" s="352"/>
      <c r="AV183" s="352"/>
      <c r="AW183" s="352"/>
      <c r="AX183" s="352"/>
      <c r="AY183" s="352"/>
      <c r="AZ183" s="352"/>
      <c r="BA183" s="352"/>
      <c r="BB183" s="352"/>
      <c r="BC183" s="352"/>
      <c r="BD183" s="352"/>
      <c r="BE183" s="352"/>
      <c r="BF183" s="352"/>
      <c r="BG183" s="352"/>
      <c r="BH183" s="352"/>
      <c r="BI183" s="352"/>
      <c r="BJ183" s="352"/>
      <c r="BK183" s="352"/>
      <c r="BL183" s="352"/>
      <c r="BM183" s="352"/>
      <c r="BN183" s="352"/>
      <c r="BO183" s="352"/>
      <c r="BP183" s="352"/>
      <c r="BQ183" s="352"/>
      <c r="BR183" s="345"/>
    </row>
    <row r="184" spans="1:132" ht="6" customHeight="1">
      <c r="B184" s="645"/>
      <c r="C184" s="640"/>
      <c r="E184" s="638"/>
      <c r="F184" s="638"/>
      <c r="G184" s="638"/>
      <c r="H184" s="638"/>
      <c r="I184" s="638"/>
      <c r="J184" s="638"/>
      <c r="K184" s="638"/>
      <c r="L184" s="638"/>
      <c r="M184" s="638"/>
      <c r="N184" s="638"/>
      <c r="O184" s="638"/>
      <c r="P184" s="638"/>
      <c r="Q184" s="638"/>
      <c r="R184" s="638"/>
      <c r="S184" s="345"/>
      <c r="T184" s="693"/>
      <c r="U184" s="694"/>
      <c r="V184" s="694"/>
      <c r="W184" s="694"/>
      <c r="X184" s="655"/>
      <c r="Y184" s="655"/>
      <c r="Z184" s="345"/>
      <c r="AA184" s="616"/>
      <c r="AB184" s="616"/>
      <c r="AC184" s="616"/>
      <c r="AD184" s="616"/>
      <c r="AE184" s="616"/>
      <c r="AF184" s="616"/>
      <c r="AG184" s="656"/>
      <c r="AH184" s="657" t="s">
        <v>2991</v>
      </c>
      <c r="AI184" s="658"/>
      <c r="AJ184" s="658"/>
      <c r="AK184" s="658"/>
      <c r="AL184" s="658"/>
      <c r="AM184" s="658"/>
      <c r="AN184" s="687" t="str">
        <f>AN62&amp;""</f>
        <v/>
      </c>
      <c r="AO184" s="687"/>
      <c r="AP184" s="687"/>
      <c r="AQ184" s="687"/>
      <c r="AR184" s="687"/>
      <c r="AS184" s="687"/>
      <c r="AT184" s="687"/>
      <c r="AU184" s="687"/>
      <c r="AV184" s="687"/>
      <c r="AW184" s="687"/>
      <c r="AX184" s="687"/>
      <c r="AY184" s="687"/>
      <c r="AZ184" s="687"/>
      <c r="BA184" s="687"/>
      <c r="BB184" s="687"/>
      <c r="BC184" s="687"/>
      <c r="BD184" s="687"/>
      <c r="BE184" s="687"/>
      <c r="BF184" s="687"/>
      <c r="BG184" s="687"/>
      <c r="BH184" s="687"/>
      <c r="BI184" s="687"/>
      <c r="BJ184" s="687"/>
      <c r="BK184" s="687"/>
      <c r="BL184" s="687"/>
      <c r="BM184" s="687"/>
      <c r="BN184" s="687"/>
      <c r="BO184" s="687"/>
      <c r="BP184" s="687"/>
      <c r="BQ184" s="687"/>
      <c r="BR184" s="695"/>
    </row>
    <row r="185" spans="1:132" ht="6" customHeight="1">
      <c r="B185" s="645"/>
      <c r="C185" s="640"/>
      <c r="E185" s="638"/>
      <c r="F185" s="638"/>
      <c r="G185" s="638"/>
      <c r="H185" s="638"/>
      <c r="I185" s="638"/>
      <c r="J185" s="638"/>
      <c r="K185" s="638"/>
      <c r="L185" s="638"/>
      <c r="M185" s="638"/>
      <c r="N185" s="638"/>
      <c r="O185" s="638"/>
      <c r="P185" s="638"/>
      <c r="Q185" s="638"/>
      <c r="R185" s="638"/>
      <c r="S185" s="345"/>
      <c r="T185" s="693"/>
      <c r="U185" s="694"/>
      <c r="V185" s="694"/>
      <c r="W185" s="694"/>
      <c r="X185" s="655"/>
      <c r="Y185" s="655"/>
      <c r="Z185" s="345"/>
      <c r="AA185" s="616"/>
      <c r="AB185" s="616"/>
      <c r="AC185" s="616"/>
      <c r="AD185" s="616"/>
      <c r="AE185" s="616"/>
      <c r="AF185" s="616"/>
      <c r="AG185" s="656"/>
      <c r="AH185" s="657"/>
      <c r="AI185" s="658"/>
      <c r="AJ185" s="658"/>
      <c r="AK185" s="658"/>
      <c r="AL185" s="658"/>
      <c r="AM185" s="658"/>
      <c r="AN185" s="687"/>
      <c r="AO185" s="687"/>
      <c r="AP185" s="687"/>
      <c r="AQ185" s="687"/>
      <c r="AR185" s="687"/>
      <c r="AS185" s="687"/>
      <c r="AT185" s="687"/>
      <c r="AU185" s="687"/>
      <c r="AV185" s="687"/>
      <c r="AW185" s="687"/>
      <c r="AX185" s="687"/>
      <c r="AY185" s="687"/>
      <c r="AZ185" s="687"/>
      <c r="BA185" s="687"/>
      <c r="BB185" s="687"/>
      <c r="BC185" s="687"/>
      <c r="BD185" s="687"/>
      <c r="BE185" s="687"/>
      <c r="BF185" s="687"/>
      <c r="BG185" s="687"/>
      <c r="BH185" s="687"/>
      <c r="BI185" s="687"/>
      <c r="BJ185" s="687"/>
      <c r="BK185" s="687"/>
      <c r="BL185" s="687"/>
      <c r="BM185" s="687"/>
      <c r="BN185" s="687"/>
      <c r="BO185" s="687"/>
      <c r="BP185" s="687"/>
      <c r="BQ185" s="687"/>
      <c r="BR185" s="695"/>
    </row>
    <row r="186" spans="1:132" ht="6" customHeight="1">
      <c r="B186" s="645"/>
      <c r="C186" s="640"/>
      <c r="E186" s="638"/>
      <c r="F186" s="638"/>
      <c r="G186" s="638"/>
      <c r="H186" s="638"/>
      <c r="I186" s="638"/>
      <c r="J186" s="638"/>
      <c r="K186" s="638"/>
      <c r="L186" s="638"/>
      <c r="M186" s="638"/>
      <c r="N186" s="638"/>
      <c r="O186" s="638"/>
      <c r="P186" s="638"/>
      <c r="Q186" s="638"/>
      <c r="R186" s="638"/>
      <c r="S186" s="345"/>
      <c r="T186" s="693"/>
      <c r="U186" s="694"/>
      <c r="V186" s="694"/>
      <c r="W186" s="694"/>
      <c r="X186" s="655"/>
      <c r="Y186" s="655"/>
      <c r="Z186" s="345"/>
      <c r="AA186" s="616"/>
      <c r="AB186" s="616"/>
      <c r="AC186" s="616"/>
      <c r="AD186" s="616"/>
      <c r="AE186" s="616"/>
      <c r="AF186" s="616"/>
      <c r="AG186" s="656"/>
      <c r="AI186" s="696" t="str">
        <f>AI64&amp;""</f>
        <v/>
      </c>
      <c r="AJ186" s="696"/>
      <c r="AK186" s="696"/>
      <c r="AL186" s="696"/>
      <c r="AM186" s="696"/>
      <c r="AN186" s="696"/>
      <c r="AO186" s="696"/>
      <c r="AP186" s="696"/>
      <c r="AQ186" s="696"/>
      <c r="AR186" s="696"/>
      <c r="AS186" s="696"/>
      <c r="AT186" s="696"/>
      <c r="AU186" s="696"/>
      <c r="AV186" s="696"/>
      <c r="AW186" s="696"/>
      <c r="AX186" s="696"/>
      <c r="AY186" s="696"/>
      <c r="AZ186" s="696"/>
      <c r="BA186" s="696"/>
      <c r="BB186" s="696"/>
      <c r="BC186" s="696"/>
      <c r="BD186" s="696"/>
      <c r="BE186" s="696"/>
      <c r="BF186" s="696"/>
      <c r="BG186" s="696"/>
      <c r="BH186" s="696"/>
      <c r="BI186" s="696"/>
      <c r="BJ186" s="696"/>
      <c r="BK186" s="696"/>
      <c r="BL186" s="696"/>
      <c r="BM186" s="696"/>
      <c r="BN186" s="696"/>
      <c r="BO186" s="696"/>
      <c r="BP186" s="696"/>
      <c r="BQ186" s="696"/>
      <c r="BR186" s="697"/>
    </row>
    <row r="187" spans="1:132" ht="6" customHeight="1">
      <c r="A187" s="345"/>
      <c r="S187" s="345"/>
      <c r="Z187" s="345"/>
      <c r="AG187" s="345"/>
      <c r="AI187" s="696"/>
      <c r="AJ187" s="696"/>
      <c r="AK187" s="696"/>
      <c r="AL187" s="696"/>
      <c r="AM187" s="696"/>
      <c r="AN187" s="696"/>
      <c r="AO187" s="696"/>
      <c r="AP187" s="696"/>
      <c r="AQ187" s="696"/>
      <c r="AR187" s="696"/>
      <c r="AS187" s="696"/>
      <c r="AT187" s="696"/>
      <c r="AU187" s="696"/>
      <c r="AV187" s="696"/>
      <c r="AW187" s="696"/>
      <c r="AX187" s="696"/>
      <c r="AY187" s="696"/>
      <c r="AZ187" s="696"/>
      <c r="BA187" s="696"/>
      <c r="BB187" s="696"/>
      <c r="BC187" s="696"/>
      <c r="BD187" s="696"/>
      <c r="BE187" s="696"/>
      <c r="BF187" s="696"/>
      <c r="BG187" s="696"/>
      <c r="BH187" s="696"/>
      <c r="BI187" s="696"/>
      <c r="BJ187" s="696"/>
      <c r="BK187" s="696"/>
      <c r="BL187" s="696"/>
      <c r="BM187" s="696"/>
      <c r="BN187" s="696"/>
      <c r="BO187" s="696"/>
      <c r="BP187" s="696"/>
      <c r="BQ187" s="696"/>
      <c r="BR187" s="697"/>
    </row>
    <row r="188" spans="1:132" ht="6" customHeight="1">
      <c r="A188" s="345"/>
      <c r="S188" s="345"/>
      <c r="Z188" s="345"/>
      <c r="AG188" s="345"/>
      <c r="AI188" s="696" t="str">
        <f>AI66&amp;""</f>
        <v/>
      </c>
      <c r="AJ188" s="696"/>
      <c r="AK188" s="696"/>
      <c r="AL188" s="696"/>
      <c r="AM188" s="696"/>
      <c r="AN188" s="696"/>
      <c r="AO188" s="696"/>
      <c r="AP188" s="696"/>
      <c r="AQ188" s="696"/>
      <c r="AR188" s="696"/>
      <c r="AS188" s="696"/>
      <c r="AT188" s="696"/>
      <c r="AU188" s="696"/>
      <c r="AV188" s="696"/>
      <c r="AW188" s="696"/>
      <c r="AX188" s="696"/>
      <c r="AY188" s="696"/>
      <c r="AZ188" s="696"/>
      <c r="BA188" s="696"/>
      <c r="BB188" s="696"/>
      <c r="BC188" s="696"/>
      <c r="BD188" s="696"/>
      <c r="BE188" s="696"/>
      <c r="BF188" s="696"/>
      <c r="BG188" s="696"/>
      <c r="BH188" s="696"/>
      <c r="BI188" s="696"/>
      <c r="BJ188" s="696"/>
      <c r="BK188" s="696"/>
      <c r="BL188" s="696"/>
      <c r="BM188" s="696"/>
      <c r="BN188" s="696"/>
      <c r="BO188" s="696"/>
      <c r="BP188" s="696"/>
      <c r="BQ188" s="696"/>
      <c r="BR188" s="697"/>
    </row>
    <row r="189" spans="1:132" ht="6" customHeight="1">
      <c r="A189" s="345"/>
      <c r="S189" s="345"/>
      <c r="Z189" s="345"/>
      <c r="AG189" s="345"/>
      <c r="AI189" s="696"/>
      <c r="AJ189" s="696"/>
      <c r="AK189" s="696"/>
      <c r="AL189" s="696"/>
      <c r="AM189" s="696"/>
      <c r="AN189" s="696"/>
      <c r="AO189" s="696"/>
      <c r="AP189" s="696"/>
      <c r="AQ189" s="696"/>
      <c r="AR189" s="696"/>
      <c r="AS189" s="696"/>
      <c r="AT189" s="696"/>
      <c r="AU189" s="696"/>
      <c r="AV189" s="696"/>
      <c r="AW189" s="696"/>
      <c r="AX189" s="696"/>
      <c r="AY189" s="696"/>
      <c r="AZ189" s="696"/>
      <c r="BA189" s="696"/>
      <c r="BB189" s="696"/>
      <c r="BC189" s="696"/>
      <c r="BD189" s="696"/>
      <c r="BE189" s="696"/>
      <c r="BF189" s="696"/>
      <c r="BG189" s="696"/>
      <c r="BH189" s="696"/>
      <c r="BI189" s="696"/>
      <c r="BJ189" s="696"/>
      <c r="BK189" s="696"/>
      <c r="BL189" s="696"/>
      <c r="BM189" s="696"/>
      <c r="BN189" s="696"/>
      <c r="BO189" s="696"/>
      <c r="BP189" s="696"/>
      <c r="BQ189" s="696"/>
      <c r="BR189" s="697"/>
    </row>
    <row r="190" spans="1:132" ht="6" customHeight="1">
      <c r="B190" s="355"/>
      <c r="O190" s="347"/>
      <c r="P190" s="367"/>
      <c r="Q190" s="367"/>
      <c r="R190" s="347"/>
      <c r="S190" s="345"/>
      <c r="Z190" s="345"/>
      <c r="AG190" s="345"/>
      <c r="AI190" s="696" t="str">
        <f>AI68&amp;""</f>
        <v/>
      </c>
      <c r="AJ190" s="696"/>
      <c r="AK190" s="696"/>
      <c r="AL190" s="696"/>
      <c r="AM190" s="696"/>
      <c r="AN190" s="696"/>
      <c r="AO190" s="696"/>
      <c r="AP190" s="696"/>
      <c r="AQ190" s="696"/>
      <c r="AR190" s="696"/>
      <c r="AS190" s="696"/>
      <c r="AT190" s="696"/>
      <c r="AU190" s="696"/>
      <c r="AV190" s="696"/>
      <c r="AW190" s="696"/>
      <c r="AX190" s="696"/>
      <c r="AY190" s="696"/>
      <c r="AZ190" s="696"/>
      <c r="BA190" s="696"/>
      <c r="BB190" s="696"/>
      <c r="BC190" s="696"/>
      <c r="BD190" s="696"/>
      <c r="BE190" s="696"/>
      <c r="BF190" s="696"/>
      <c r="BG190" s="696"/>
      <c r="BH190" s="696"/>
      <c r="BI190" s="696"/>
      <c r="BJ190" s="696"/>
      <c r="BK190" s="696"/>
      <c r="BL190" s="696"/>
      <c r="BM190" s="696"/>
      <c r="BN190" s="696"/>
      <c r="BO190" s="696"/>
      <c r="BP190" s="696"/>
      <c r="BQ190" s="696"/>
      <c r="BR190" s="697"/>
    </row>
    <row r="191" spans="1:132" ht="6" customHeight="1">
      <c r="B191" s="355"/>
      <c r="O191" s="347"/>
      <c r="P191" s="367"/>
      <c r="Q191" s="367"/>
      <c r="R191" s="347"/>
      <c r="S191" s="345"/>
      <c r="Z191" s="345"/>
      <c r="AG191" s="345"/>
      <c r="AI191" s="696"/>
      <c r="AJ191" s="696"/>
      <c r="AK191" s="696"/>
      <c r="AL191" s="696"/>
      <c r="AM191" s="696"/>
      <c r="AN191" s="696"/>
      <c r="AO191" s="696"/>
      <c r="AP191" s="696"/>
      <c r="AQ191" s="696"/>
      <c r="AR191" s="696"/>
      <c r="AS191" s="696"/>
      <c r="AT191" s="696"/>
      <c r="AU191" s="696"/>
      <c r="AV191" s="696"/>
      <c r="AW191" s="696"/>
      <c r="AX191" s="696"/>
      <c r="AY191" s="696"/>
      <c r="AZ191" s="696"/>
      <c r="BA191" s="696"/>
      <c r="BB191" s="696"/>
      <c r="BC191" s="696"/>
      <c r="BD191" s="696"/>
      <c r="BE191" s="696"/>
      <c r="BF191" s="696"/>
      <c r="BG191" s="696"/>
      <c r="BH191" s="696"/>
      <c r="BI191" s="696"/>
      <c r="BJ191" s="696"/>
      <c r="BK191" s="696"/>
      <c r="BL191" s="696"/>
      <c r="BM191" s="696"/>
      <c r="BN191" s="696"/>
      <c r="BO191" s="696"/>
      <c r="BP191" s="696"/>
      <c r="BQ191" s="696"/>
      <c r="BR191" s="697"/>
      <c r="DE191" s="349"/>
      <c r="DF191" s="349"/>
      <c r="DG191" s="349"/>
      <c r="DH191" s="349"/>
      <c r="DI191" s="349"/>
      <c r="DJ191" s="349"/>
      <c r="DK191" s="349"/>
      <c r="DL191" s="349"/>
      <c r="DM191" s="349"/>
      <c r="DN191" s="349"/>
      <c r="DO191" s="349"/>
      <c r="DP191" s="349"/>
      <c r="DQ191" s="349"/>
      <c r="DR191" s="349"/>
      <c r="DS191" s="349"/>
      <c r="DT191" s="349"/>
      <c r="DU191" s="349"/>
      <c r="DV191" s="349"/>
      <c r="DW191" s="349"/>
      <c r="DX191" s="349"/>
      <c r="DY191" s="349"/>
      <c r="DZ191" s="349"/>
      <c r="EA191" s="349"/>
      <c r="EB191" s="349"/>
    </row>
    <row r="192" spans="1:132" ht="6" customHeight="1">
      <c r="B192" s="355"/>
      <c r="O192" s="347"/>
      <c r="P192" s="367"/>
      <c r="Q192" s="367"/>
      <c r="R192" s="347"/>
      <c r="S192" s="345"/>
      <c r="Z192" s="345"/>
      <c r="AG192" s="345"/>
      <c r="AI192" s="625" t="s">
        <v>2990</v>
      </c>
      <c r="AJ192" s="625"/>
      <c r="AK192" s="625"/>
      <c r="AL192" s="625"/>
      <c r="AM192" s="625"/>
      <c r="AN192" s="625"/>
      <c r="AO192" s="625"/>
      <c r="AP192" s="698" t="str">
        <f>AP70&amp;""</f>
        <v/>
      </c>
      <c r="AQ192" s="699"/>
      <c r="AR192" s="699"/>
      <c r="AS192" s="699"/>
      <c r="AT192" s="699"/>
      <c r="AU192" s="625" t="s">
        <v>2989</v>
      </c>
      <c r="AV192" s="625"/>
      <c r="AW192" s="625"/>
      <c r="AX192" s="625" t="s">
        <v>2988</v>
      </c>
      <c r="AY192" s="625"/>
      <c r="AZ192" s="625"/>
      <c r="BA192" s="625"/>
      <c r="BB192" s="699" t="str">
        <f>BB70&amp;""</f>
        <v/>
      </c>
      <c r="BC192" s="699"/>
      <c r="BD192" s="699"/>
      <c r="BE192" s="699"/>
      <c r="BF192" s="699"/>
      <c r="BG192" s="699"/>
      <c r="BH192" s="625" t="s">
        <v>2975</v>
      </c>
      <c r="BI192" s="625"/>
      <c r="BJ192" s="625"/>
      <c r="BK192" s="625"/>
      <c r="BL192" s="366"/>
      <c r="BM192" s="366"/>
      <c r="BN192" s="366"/>
      <c r="BO192" s="366"/>
      <c r="BP192" s="366"/>
      <c r="BQ192" s="366"/>
      <c r="BR192" s="365"/>
      <c r="DE192" s="349"/>
      <c r="DF192" s="349"/>
      <c r="DG192" s="349"/>
      <c r="DH192" s="349"/>
      <c r="DI192" s="349"/>
      <c r="DJ192" s="349"/>
      <c r="DK192" s="349"/>
      <c r="DL192" s="349"/>
      <c r="DM192" s="349"/>
      <c r="DN192" s="349"/>
      <c r="DO192" s="349"/>
      <c r="DP192" s="349"/>
      <c r="DQ192" s="349"/>
      <c r="DR192" s="349"/>
      <c r="DS192" s="349"/>
      <c r="DT192" s="349"/>
      <c r="DU192" s="349"/>
      <c r="DV192" s="349"/>
      <c r="DW192" s="349"/>
      <c r="DX192" s="349"/>
      <c r="DY192" s="349"/>
      <c r="DZ192" s="349"/>
      <c r="EA192" s="349"/>
      <c r="EB192" s="349"/>
    </row>
    <row r="193" spans="2:132" ht="6" customHeight="1">
      <c r="B193" s="358"/>
      <c r="C193" s="341"/>
      <c r="D193" s="341"/>
      <c r="E193" s="341"/>
      <c r="F193" s="341"/>
      <c r="G193" s="341"/>
      <c r="H193" s="341"/>
      <c r="I193" s="341"/>
      <c r="J193" s="341"/>
      <c r="K193" s="341"/>
      <c r="L193" s="341"/>
      <c r="M193" s="341"/>
      <c r="N193" s="341"/>
      <c r="O193" s="343"/>
      <c r="P193" s="364"/>
      <c r="Q193" s="364"/>
      <c r="R193" s="343"/>
      <c r="S193" s="340"/>
      <c r="T193" s="341"/>
      <c r="U193" s="341"/>
      <c r="V193" s="341"/>
      <c r="W193" s="341"/>
      <c r="X193" s="341"/>
      <c r="Y193" s="341"/>
      <c r="Z193" s="340"/>
      <c r="AA193" s="341"/>
      <c r="AB193" s="341"/>
      <c r="AC193" s="341"/>
      <c r="AD193" s="341"/>
      <c r="AE193" s="341"/>
      <c r="AF193" s="341"/>
      <c r="AG193" s="340"/>
      <c r="AH193" s="341"/>
      <c r="AI193" s="626"/>
      <c r="AJ193" s="626"/>
      <c r="AK193" s="626"/>
      <c r="AL193" s="626"/>
      <c r="AM193" s="626"/>
      <c r="AN193" s="626"/>
      <c r="AO193" s="626"/>
      <c r="AP193" s="700"/>
      <c r="AQ193" s="700"/>
      <c r="AR193" s="700"/>
      <c r="AS193" s="700"/>
      <c r="AT193" s="700"/>
      <c r="AU193" s="626"/>
      <c r="AV193" s="626"/>
      <c r="AW193" s="626"/>
      <c r="AX193" s="626"/>
      <c r="AY193" s="626"/>
      <c r="AZ193" s="626"/>
      <c r="BA193" s="626"/>
      <c r="BB193" s="700"/>
      <c r="BC193" s="700"/>
      <c r="BD193" s="700"/>
      <c r="BE193" s="700"/>
      <c r="BF193" s="700"/>
      <c r="BG193" s="700"/>
      <c r="BH193" s="626"/>
      <c r="BI193" s="626"/>
      <c r="BJ193" s="626"/>
      <c r="BK193" s="626"/>
      <c r="BL193" s="363"/>
      <c r="BM193" s="363"/>
      <c r="BN193" s="363"/>
      <c r="BO193" s="363"/>
      <c r="BP193" s="363"/>
      <c r="BQ193" s="363"/>
      <c r="BR193" s="362"/>
      <c r="DE193" s="349"/>
      <c r="DF193" s="349"/>
      <c r="DG193" s="349"/>
      <c r="DH193" s="349"/>
      <c r="DI193" s="349"/>
      <c r="DJ193" s="349"/>
      <c r="DK193" s="349"/>
      <c r="DL193" s="349"/>
      <c r="DM193" s="349"/>
      <c r="DN193" s="349"/>
      <c r="DO193" s="349"/>
      <c r="DP193" s="349"/>
      <c r="DQ193" s="349"/>
      <c r="DR193" s="349"/>
      <c r="DS193" s="349"/>
      <c r="DT193" s="349"/>
      <c r="DU193" s="349"/>
      <c r="DV193" s="349"/>
      <c r="DW193" s="349"/>
      <c r="DX193" s="349"/>
      <c r="DY193" s="349"/>
      <c r="DZ193" s="349"/>
      <c r="EA193" s="349"/>
      <c r="EB193" s="349"/>
    </row>
    <row r="194" spans="2:132" ht="6" customHeight="1">
      <c r="B194" s="348"/>
      <c r="S194" s="345"/>
      <c r="BR194" s="345"/>
      <c r="DE194" s="349"/>
      <c r="DF194" s="349"/>
      <c r="DG194" s="349"/>
      <c r="DH194" s="349"/>
      <c r="DI194" s="349"/>
      <c r="DJ194" s="349"/>
      <c r="DK194" s="349"/>
      <c r="DL194" s="349"/>
      <c r="DM194" s="349"/>
      <c r="DN194" s="349"/>
      <c r="DO194" s="349"/>
      <c r="DP194" s="349"/>
      <c r="DQ194" s="349"/>
      <c r="DR194" s="349"/>
      <c r="DS194" s="349"/>
      <c r="DT194" s="349"/>
      <c r="DU194" s="349"/>
      <c r="DV194" s="349"/>
      <c r="DW194" s="349"/>
      <c r="DX194" s="349"/>
      <c r="DY194" s="349"/>
      <c r="DZ194" s="349"/>
      <c r="EA194" s="349"/>
      <c r="EB194" s="349"/>
    </row>
    <row r="195" spans="2:132" ht="6" customHeight="1">
      <c r="B195" s="645">
        <v>7</v>
      </c>
      <c r="C195" s="640"/>
      <c r="E195" s="661" t="s">
        <v>2987</v>
      </c>
      <c r="F195" s="661"/>
      <c r="G195" s="661"/>
      <c r="H195" s="661"/>
      <c r="I195" s="661"/>
      <c r="J195" s="661"/>
      <c r="K195" s="661"/>
      <c r="L195" s="661"/>
      <c r="M195" s="661"/>
      <c r="N195" s="661"/>
      <c r="O195" s="661"/>
      <c r="P195" s="661"/>
      <c r="Q195" s="661"/>
      <c r="R195" s="661"/>
      <c r="S195" s="662"/>
      <c r="Z195" s="689" t="str">
        <f>Z73&amp;""</f>
        <v/>
      </c>
      <c r="AA195" s="689"/>
      <c r="AB195" s="655" t="s">
        <v>2986</v>
      </c>
      <c r="AC195" s="655"/>
      <c r="AD195" s="655"/>
      <c r="AE195" s="655"/>
      <c r="AF195" s="655"/>
      <c r="AG195" s="655"/>
      <c r="AH195" s="655"/>
      <c r="AI195" s="655"/>
      <c r="AJ195" s="655"/>
      <c r="AK195" s="640" t="s">
        <v>2985</v>
      </c>
      <c r="AL195" s="640"/>
      <c r="AN195" s="689" t="str">
        <f>AN73&amp;""</f>
        <v>〇</v>
      </c>
      <c r="AO195" s="689"/>
      <c r="AP195" s="655" t="s">
        <v>2984</v>
      </c>
      <c r="AQ195" s="655"/>
      <c r="AR195" s="655"/>
      <c r="AS195" s="655"/>
      <c r="AT195" s="655"/>
      <c r="AU195" s="655"/>
      <c r="AV195" s="655"/>
      <c r="AW195" s="655"/>
      <c r="AX195" s="655"/>
      <c r="BR195" s="345"/>
      <c r="CA195" s="352"/>
      <c r="CB195" s="352"/>
      <c r="CC195" s="352"/>
      <c r="CD195" s="352"/>
      <c r="CE195" s="352"/>
      <c r="CF195" s="352"/>
      <c r="CG195" s="352"/>
      <c r="CH195" s="352"/>
      <c r="CI195" s="352"/>
      <c r="CJ195" s="352"/>
      <c r="CK195" s="352"/>
      <c r="CL195" s="352"/>
      <c r="CM195" s="352"/>
      <c r="CN195" s="352"/>
      <c r="CO195" s="352"/>
      <c r="CP195" s="352"/>
      <c r="CQ195" s="352"/>
      <c r="CR195" s="352"/>
      <c r="CS195" s="352"/>
      <c r="CT195" s="352"/>
      <c r="CU195" s="352"/>
      <c r="CV195" s="352"/>
      <c r="CW195" s="352"/>
      <c r="CX195" s="352"/>
      <c r="CY195" s="352"/>
      <c r="CZ195" s="352"/>
      <c r="DA195" s="352"/>
      <c r="DB195" s="352"/>
      <c r="DC195" s="352"/>
      <c r="DD195" s="352"/>
      <c r="DE195" s="349"/>
      <c r="DF195" s="349"/>
      <c r="DG195" s="349"/>
      <c r="DH195" s="349"/>
      <c r="DI195" s="349"/>
      <c r="DJ195" s="349"/>
      <c r="DK195" s="349"/>
      <c r="DL195" s="349"/>
      <c r="DM195" s="349"/>
      <c r="DN195" s="349"/>
      <c r="DO195" s="349"/>
      <c r="DP195" s="349"/>
      <c r="DQ195" s="349"/>
      <c r="DR195" s="349"/>
      <c r="DS195" s="349"/>
      <c r="DT195" s="349"/>
      <c r="DU195" s="349"/>
      <c r="DV195" s="349"/>
      <c r="DW195" s="349"/>
      <c r="DX195" s="349"/>
      <c r="DY195" s="349"/>
      <c r="DZ195" s="349"/>
      <c r="EA195" s="349"/>
      <c r="EB195" s="349"/>
    </row>
    <row r="196" spans="2:132" ht="6" customHeight="1">
      <c r="B196" s="645"/>
      <c r="C196" s="640"/>
      <c r="E196" s="661"/>
      <c r="F196" s="661"/>
      <c r="G196" s="661"/>
      <c r="H196" s="661"/>
      <c r="I196" s="661"/>
      <c r="J196" s="661"/>
      <c r="K196" s="661"/>
      <c r="L196" s="661"/>
      <c r="M196" s="661"/>
      <c r="N196" s="661"/>
      <c r="O196" s="661"/>
      <c r="P196" s="661"/>
      <c r="Q196" s="661"/>
      <c r="R196" s="661"/>
      <c r="S196" s="662"/>
      <c r="Z196" s="689"/>
      <c r="AA196" s="689"/>
      <c r="AB196" s="655"/>
      <c r="AC196" s="655"/>
      <c r="AD196" s="655"/>
      <c r="AE196" s="655"/>
      <c r="AF196" s="655"/>
      <c r="AG196" s="655"/>
      <c r="AH196" s="655"/>
      <c r="AI196" s="655"/>
      <c r="AJ196" s="655"/>
      <c r="AK196" s="640"/>
      <c r="AL196" s="640"/>
      <c r="AN196" s="689"/>
      <c r="AO196" s="689"/>
      <c r="AP196" s="655"/>
      <c r="AQ196" s="655"/>
      <c r="AR196" s="655"/>
      <c r="AS196" s="655"/>
      <c r="AT196" s="655"/>
      <c r="AU196" s="655"/>
      <c r="AV196" s="655"/>
      <c r="AW196" s="655"/>
      <c r="AX196" s="655"/>
      <c r="BR196" s="345"/>
      <c r="CA196" s="352"/>
      <c r="CB196" s="352"/>
      <c r="CC196" s="352"/>
      <c r="CD196" s="352"/>
      <c r="CE196" s="352"/>
      <c r="CF196" s="352"/>
      <c r="CG196" s="352"/>
      <c r="CH196" s="352"/>
      <c r="CI196" s="352"/>
      <c r="CJ196" s="352"/>
      <c r="CK196" s="352"/>
      <c r="CL196" s="352"/>
      <c r="CM196" s="352"/>
      <c r="CN196" s="352"/>
      <c r="CO196" s="352"/>
      <c r="CP196" s="352"/>
      <c r="CQ196" s="352"/>
      <c r="CR196" s="352"/>
      <c r="CS196" s="352"/>
      <c r="CT196" s="352"/>
      <c r="CU196" s="352"/>
      <c r="CV196" s="352"/>
      <c r="CW196" s="352"/>
      <c r="CX196" s="352"/>
      <c r="CY196" s="352"/>
      <c r="CZ196" s="352"/>
      <c r="DA196" s="352"/>
      <c r="DB196" s="352"/>
      <c r="DC196" s="352"/>
      <c r="DD196" s="352"/>
      <c r="DE196" s="349"/>
      <c r="DF196" s="349"/>
      <c r="DG196" s="349"/>
      <c r="DH196" s="349"/>
      <c r="DI196" s="349"/>
      <c r="DJ196" s="349"/>
      <c r="DK196" s="349"/>
      <c r="DL196" s="349"/>
      <c r="DM196" s="349"/>
      <c r="DN196" s="349"/>
      <c r="DO196" s="349"/>
      <c r="DP196" s="349"/>
      <c r="DQ196" s="349"/>
      <c r="DR196" s="349"/>
      <c r="DS196" s="349"/>
      <c r="DT196" s="349"/>
      <c r="DU196" s="349"/>
      <c r="DV196" s="349"/>
      <c r="DW196" s="349"/>
      <c r="DX196" s="349"/>
      <c r="DY196" s="349"/>
      <c r="DZ196" s="349"/>
      <c r="EA196" s="349"/>
      <c r="EB196" s="349"/>
    </row>
    <row r="197" spans="2:132" ht="6" customHeight="1">
      <c r="B197" s="344"/>
      <c r="C197" s="341"/>
      <c r="D197" s="341"/>
      <c r="E197" s="341"/>
      <c r="F197" s="341"/>
      <c r="G197" s="341"/>
      <c r="H197" s="341"/>
      <c r="I197" s="341"/>
      <c r="J197" s="341"/>
      <c r="K197" s="341"/>
      <c r="L197" s="341"/>
      <c r="M197" s="341"/>
      <c r="N197" s="341"/>
      <c r="O197" s="341"/>
      <c r="P197" s="341"/>
      <c r="Q197" s="341"/>
      <c r="R197" s="341"/>
      <c r="S197" s="340"/>
      <c r="T197" s="341"/>
      <c r="U197" s="341"/>
      <c r="V197" s="341"/>
      <c r="W197" s="341"/>
      <c r="X197" s="341"/>
      <c r="Y197" s="341"/>
      <c r="Z197" s="341"/>
      <c r="AA197" s="341"/>
      <c r="AB197" s="341"/>
      <c r="AC197" s="341"/>
      <c r="AD197" s="341"/>
      <c r="AE197" s="341"/>
      <c r="AF197" s="341"/>
      <c r="AG197" s="341"/>
      <c r="AH197" s="341"/>
      <c r="AI197" s="341"/>
      <c r="AJ197" s="341"/>
      <c r="AK197" s="341"/>
      <c r="AL197" s="341"/>
      <c r="AM197" s="341"/>
      <c r="AN197" s="341"/>
      <c r="AO197" s="341"/>
      <c r="AP197" s="341"/>
      <c r="AQ197" s="341"/>
      <c r="AR197" s="341"/>
      <c r="AS197" s="341"/>
      <c r="AT197" s="341"/>
      <c r="AU197" s="341"/>
      <c r="AV197" s="341"/>
      <c r="AW197" s="341"/>
      <c r="AX197" s="341"/>
      <c r="AY197" s="341"/>
      <c r="AZ197" s="341"/>
      <c r="BA197" s="341"/>
      <c r="BB197" s="341"/>
      <c r="BC197" s="341"/>
      <c r="BD197" s="341"/>
      <c r="BE197" s="341"/>
      <c r="BF197" s="341"/>
      <c r="BG197" s="341"/>
      <c r="BH197" s="341"/>
      <c r="BI197" s="341"/>
      <c r="BJ197" s="341"/>
      <c r="BK197" s="341"/>
      <c r="BL197" s="341"/>
      <c r="BM197" s="341"/>
      <c r="BN197" s="341"/>
      <c r="BO197" s="341"/>
      <c r="BP197" s="341"/>
      <c r="BQ197" s="341"/>
      <c r="BR197" s="340"/>
      <c r="DE197" s="349"/>
      <c r="DF197" s="349"/>
      <c r="DG197" s="349"/>
      <c r="DH197" s="349"/>
      <c r="DI197" s="349"/>
      <c r="DJ197" s="349"/>
      <c r="DK197" s="349"/>
      <c r="DL197" s="349"/>
      <c r="DM197" s="349"/>
      <c r="DN197" s="349"/>
      <c r="DO197" s="349"/>
      <c r="DP197" s="349"/>
      <c r="DQ197" s="349"/>
      <c r="DR197" s="349"/>
      <c r="DS197" s="349"/>
      <c r="DT197" s="349"/>
      <c r="DU197" s="349"/>
      <c r="DV197" s="349"/>
      <c r="DW197" s="349"/>
      <c r="DX197" s="349"/>
      <c r="DY197" s="349"/>
      <c r="DZ197" s="349"/>
      <c r="EA197" s="349"/>
      <c r="EB197" s="349"/>
    </row>
    <row r="198" spans="2:132" ht="6" customHeight="1">
      <c r="B198" s="355">
        <v>8</v>
      </c>
      <c r="S198" s="345"/>
      <c r="BR198" s="345"/>
      <c r="DE198" s="349"/>
      <c r="DF198" s="349"/>
      <c r="DG198" s="349"/>
      <c r="DH198" s="349"/>
      <c r="DI198" s="349"/>
      <c r="DJ198" s="349"/>
      <c r="DK198" s="349"/>
      <c r="DL198" s="349"/>
      <c r="DM198" s="349"/>
      <c r="DN198" s="349"/>
      <c r="DO198" s="349"/>
      <c r="DP198" s="349"/>
      <c r="DQ198" s="349"/>
      <c r="DR198" s="349"/>
      <c r="DS198" s="349"/>
      <c r="DT198" s="349"/>
      <c r="DU198" s="349"/>
      <c r="DV198" s="349"/>
      <c r="DW198" s="349"/>
      <c r="DX198" s="349"/>
      <c r="DY198" s="349"/>
      <c r="DZ198" s="349"/>
      <c r="EA198" s="349"/>
      <c r="EB198" s="349"/>
    </row>
    <row r="199" spans="2:132" ht="6" customHeight="1">
      <c r="B199" s="355"/>
      <c r="I199" s="354">
        <v>-1</v>
      </c>
      <c r="J199" s="354"/>
      <c r="S199" s="345"/>
      <c r="T199" s="701" t="str">
        <f>T77&amp;""</f>
        <v>〇</v>
      </c>
      <c r="U199" s="689"/>
      <c r="V199" s="640" t="s">
        <v>2983</v>
      </c>
      <c r="W199" s="640"/>
      <c r="X199" s="640"/>
      <c r="Y199" s="630" t="s">
        <v>2982</v>
      </c>
      <c r="Z199" s="630"/>
      <c r="AA199" s="630"/>
      <c r="AB199" s="630"/>
      <c r="AC199" s="630"/>
      <c r="AD199" s="630"/>
      <c r="AE199" s="630"/>
      <c r="AF199" s="630"/>
      <c r="AG199" s="630"/>
      <c r="AH199" s="630"/>
      <c r="AI199" s="630"/>
      <c r="AJ199" s="352"/>
      <c r="AK199" s="352"/>
      <c r="AL199" s="630" t="s">
        <v>2981</v>
      </c>
      <c r="AM199" s="630"/>
      <c r="AN199" s="630"/>
      <c r="AO199" s="630"/>
      <c r="AP199" s="687" t="str">
        <f>AP77&amp;""</f>
        <v/>
      </c>
      <c r="AQ199" s="687"/>
      <c r="AR199" s="687"/>
      <c r="AS199" s="687"/>
      <c r="AT199" s="687"/>
      <c r="AU199" s="687"/>
      <c r="AV199" s="687"/>
      <c r="AW199" s="687"/>
      <c r="AX199" s="687"/>
      <c r="AY199" s="687"/>
      <c r="AZ199" s="687"/>
      <c r="BA199" s="687"/>
      <c r="BB199" s="687"/>
      <c r="BC199" s="687"/>
      <c r="BD199" s="687"/>
      <c r="BE199" s="687"/>
      <c r="BF199" s="687"/>
      <c r="BG199" s="687"/>
      <c r="BH199" s="687"/>
      <c r="BI199" s="687"/>
      <c r="BJ199" s="687"/>
      <c r="BK199" s="687"/>
      <c r="BL199" s="687"/>
      <c r="BM199" s="687"/>
      <c r="BN199" s="687"/>
      <c r="BO199" s="687"/>
      <c r="BP199" s="687"/>
      <c r="BQ199" s="352"/>
      <c r="BR199" s="361"/>
      <c r="CB199" s="352"/>
      <c r="CC199" s="352"/>
      <c r="CD199" s="352"/>
      <c r="CE199" s="352"/>
      <c r="CF199" s="352"/>
      <c r="CG199" s="352"/>
      <c r="CH199" s="352"/>
      <c r="CI199" s="352"/>
      <c r="CJ199" s="352"/>
      <c r="CK199" s="352"/>
      <c r="CL199" s="352"/>
      <c r="CM199" s="352"/>
      <c r="CN199" s="352"/>
      <c r="CO199" s="352"/>
      <c r="CP199" s="352"/>
      <c r="CQ199" s="352"/>
      <c r="CR199" s="352"/>
      <c r="CS199" s="352"/>
      <c r="CT199" s="352"/>
      <c r="CU199" s="352"/>
      <c r="CV199" s="352"/>
      <c r="CW199" s="352"/>
      <c r="CX199" s="352"/>
      <c r="CY199" s="352"/>
      <c r="CZ199" s="352"/>
      <c r="DB199" s="352"/>
      <c r="DC199" s="352"/>
      <c r="DD199" s="352"/>
      <c r="DE199" s="349"/>
      <c r="DF199" s="349"/>
      <c r="DG199" s="349"/>
      <c r="DH199" s="349"/>
      <c r="DI199" s="349"/>
      <c r="DJ199" s="349"/>
      <c r="DK199" s="349"/>
      <c r="DL199" s="349"/>
      <c r="DM199" s="349"/>
      <c r="DN199" s="349"/>
      <c r="DO199" s="349"/>
      <c r="DP199" s="349"/>
      <c r="DQ199" s="349"/>
      <c r="DR199" s="349"/>
      <c r="DS199" s="349"/>
      <c r="DT199" s="349"/>
      <c r="DU199" s="349"/>
      <c r="DV199" s="349"/>
      <c r="DW199" s="349"/>
      <c r="DX199" s="349"/>
      <c r="DY199" s="349"/>
      <c r="DZ199" s="349"/>
      <c r="EA199" s="349"/>
      <c r="EB199" s="349"/>
    </row>
    <row r="200" spans="2:132" ht="6" customHeight="1">
      <c r="B200" s="645">
        <v>8</v>
      </c>
      <c r="C200" s="640"/>
      <c r="E200" s="638" t="s">
        <v>2980</v>
      </c>
      <c r="F200" s="638"/>
      <c r="G200" s="638"/>
      <c r="H200" s="638"/>
      <c r="I200" s="638"/>
      <c r="J200" s="638"/>
      <c r="K200" s="638"/>
      <c r="L200" s="638"/>
      <c r="M200" s="638"/>
      <c r="N200" s="638"/>
      <c r="O200" s="638"/>
      <c r="P200" s="638"/>
      <c r="Q200" s="638"/>
      <c r="R200" s="638"/>
      <c r="S200" s="345"/>
      <c r="T200" s="701"/>
      <c r="U200" s="689"/>
      <c r="V200" s="640"/>
      <c r="W200" s="640"/>
      <c r="X200" s="640"/>
      <c r="Y200" s="630"/>
      <c r="Z200" s="630"/>
      <c r="AA200" s="630"/>
      <c r="AB200" s="630"/>
      <c r="AC200" s="630"/>
      <c r="AD200" s="630"/>
      <c r="AE200" s="630"/>
      <c r="AF200" s="630"/>
      <c r="AG200" s="630"/>
      <c r="AH200" s="630"/>
      <c r="AI200" s="630"/>
      <c r="AJ200" s="352"/>
      <c r="AK200" s="352"/>
      <c r="AL200" s="630"/>
      <c r="AM200" s="630"/>
      <c r="AN200" s="630"/>
      <c r="AO200" s="630"/>
      <c r="AP200" s="687"/>
      <c r="AQ200" s="687"/>
      <c r="AR200" s="687"/>
      <c r="AS200" s="687"/>
      <c r="AT200" s="687"/>
      <c r="AU200" s="687"/>
      <c r="AV200" s="687"/>
      <c r="AW200" s="687"/>
      <c r="AX200" s="687"/>
      <c r="AY200" s="687"/>
      <c r="AZ200" s="687"/>
      <c r="BA200" s="687"/>
      <c r="BB200" s="687"/>
      <c r="BC200" s="687"/>
      <c r="BD200" s="687"/>
      <c r="BE200" s="687"/>
      <c r="BF200" s="687"/>
      <c r="BG200" s="687"/>
      <c r="BH200" s="687"/>
      <c r="BI200" s="687"/>
      <c r="BJ200" s="687"/>
      <c r="BK200" s="687"/>
      <c r="BL200" s="687"/>
      <c r="BM200" s="687"/>
      <c r="BN200" s="687"/>
      <c r="BO200" s="687"/>
      <c r="BP200" s="687"/>
      <c r="BQ200" s="352"/>
      <c r="BR200" s="361"/>
      <c r="CB200" s="352"/>
      <c r="CC200" s="352"/>
      <c r="CD200" s="352"/>
      <c r="CE200" s="352"/>
      <c r="CF200" s="352"/>
      <c r="CG200" s="352"/>
      <c r="CH200" s="352"/>
      <c r="CI200" s="352"/>
      <c r="CJ200" s="352"/>
      <c r="CK200" s="352"/>
      <c r="CL200" s="352"/>
      <c r="CM200" s="352"/>
      <c r="CN200" s="352"/>
      <c r="CO200" s="352"/>
      <c r="CP200" s="352"/>
      <c r="CQ200" s="352"/>
      <c r="CR200" s="352"/>
      <c r="CS200" s="352"/>
      <c r="CT200" s="352"/>
      <c r="CU200" s="352"/>
      <c r="CV200" s="352"/>
      <c r="CW200" s="352"/>
      <c r="CX200" s="352"/>
      <c r="CY200" s="352"/>
      <c r="CZ200" s="352"/>
      <c r="DB200" s="352"/>
      <c r="DC200" s="352"/>
      <c r="DD200" s="352"/>
      <c r="DE200" s="349"/>
      <c r="DF200" s="349"/>
      <c r="DG200" s="349"/>
      <c r="DH200" s="349"/>
      <c r="DI200" s="349"/>
      <c r="DJ200" s="349"/>
      <c r="DK200" s="349"/>
      <c r="DL200" s="349"/>
      <c r="DM200" s="349"/>
      <c r="DN200" s="349"/>
      <c r="DO200" s="349"/>
      <c r="DP200" s="349"/>
      <c r="DQ200" s="349"/>
      <c r="DR200" s="349"/>
      <c r="DS200" s="349"/>
      <c r="DT200" s="349"/>
      <c r="DU200" s="349"/>
      <c r="DV200" s="349"/>
      <c r="DW200" s="349"/>
      <c r="DX200" s="349"/>
      <c r="DY200" s="349"/>
      <c r="DZ200" s="349"/>
      <c r="EA200" s="349"/>
      <c r="EB200" s="349"/>
    </row>
    <row r="201" spans="2:132" ht="6" customHeight="1">
      <c r="B201" s="645"/>
      <c r="C201" s="640"/>
      <c r="E201" s="638"/>
      <c r="F201" s="638"/>
      <c r="G201" s="638"/>
      <c r="H201" s="638"/>
      <c r="I201" s="638"/>
      <c r="J201" s="638"/>
      <c r="K201" s="638"/>
      <c r="L201" s="638"/>
      <c r="M201" s="638"/>
      <c r="N201" s="638"/>
      <c r="O201" s="638"/>
      <c r="P201" s="638"/>
      <c r="Q201" s="638"/>
      <c r="R201" s="638"/>
      <c r="S201" s="345"/>
      <c r="AQ201" s="347"/>
      <c r="AR201" s="347"/>
      <c r="AS201" s="347"/>
      <c r="AT201" s="347"/>
      <c r="AU201" s="347"/>
      <c r="AV201" s="347"/>
      <c r="AW201" s="347"/>
      <c r="BE201" s="347"/>
      <c r="BF201" s="347"/>
      <c r="BR201" s="345"/>
      <c r="CT201" s="347"/>
      <c r="CU201" s="347"/>
      <c r="CV201" s="347"/>
      <c r="CW201" s="347"/>
      <c r="CX201" s="347"/>
      <c r="CY201" s="347"/>
      <c r="CZ201" s="347"/>
      <c r="DE201" s="349"/>
      <c r="DF201" s="349"/>
      <c r="DG201" s="349"/>
      <c r="DH201" s="349"/>
      <c r="DI201" s="349"/>
      <c r="DJ201" s="349"/>
      <c r="DK201" s="349"/>
      <c r="DL201" s="349"/>
      <c r="DM201" s="349"/>
      <c r="DN201" s="349"/>
      <c r="DO201" s="349"/>
      <c r="DP201" s="349"/>
      <c r="DQ201" s="349"/>
      <c r="DR201" s="349"/>
      <c r="DS201" s="349"/>
      <c r="DT201" s="349"/>
      <c r="DU201" s="349"/>
      <c r="DV201" s="349"/>
      <c r="DW201" s="349"/>
      <c r="DX201" s="349"/>
      <c r="DY201" s="349"/>
      <c r="DZ201" s="349"/>
      <c r="EA201" s="349"/>
      <c r="EB201" s="349"/>
    </row>
    <row r="202" spans="2:132" ht="6" customHeight="1">
      <c r="B202" s="645"/>
      <c r="C202" s="640"/>
      <c r="E202" s="638"/>
      <c r="F202" s="638"/>
      <c r="G202" s="638"/>
      <c r="H202" s="638"/>
      <c r="I202" s="638"/>
      <c r="J202" s="638"/>
      <c r="K202" s="638"/>
      <c r="L202" s="638"/>
      <c r="M202" s="638"/>
      <c r="N202" s="638"/>
      <c r="O202" s="638"/>
      <c r="P202" s="638"/>
      <c r="Q202" s="638"/>
      <c r="R202" s="638"/>
      <c r="S202" s="345"/>
      <c r="T202" s="701" t="str">
        <f>T80&amp;""</f>
        <v/>
      </c>
      <c r="U202" s="689"/>
      <c r="V202" s="616" t="s">
        <v>55</v>
      </c>
      <c r="W202" s="616"/>
      <c r="X202" s="616"/>
      <c r="Y202" s="643" t="s">
        <v>2</v>
      </c>
      <c r="Z202" s="643"/>
      <c r="AA202" s="643"/>
      <c r="AB202" s="643"/>
      <c r="AC202" s="643"/>
      <c r="AD202" s="643"/>
      <c r="AE202" s="643"/>
      <c r="AF202" s="643"/>
      <c r="AL202" s="630" t="s">
        <v>2979</v>
      </c>
      <c r="AM202" s="630"/>
      <c r="AN202" s="630"/>
      <c r="AO202" s="630"/>
      <c r="AP202" s="630"/>
      <c r="AQ202" s="630"/>
      <c r="AR202" s="630"/>
      <c r="AS202" s="630"/>
      <c r="AT202" s="620" t="s">
        <v>2978</v>
      </c>
      <c r="AU202" s="620"/>
      <c r="AV202" s="687" t="str">
        <f>AV80&amp;""</f>
        <v/>
      </c>
      <c r="AW202" s="687"/>
      <c r="AX202" s="687"/>
      <c r="AY202" s="687"/>
      <c r="AZ202" s="687"/>
      <c r="BA202" s="687"/>
      <c r="BB202" s="687"/>
      <c r="BC202" s="687"/>
      <c r="BD202" s="687"/>
      <c r="BE202" s="687"/>
      <c r="BF202" s="687"/>
      <c r="BG202" s="687"/>
      <c r="BH202" s="687"/>
      <c r="BI202" s="687"/>
      <c r="BJ202" s="687"/>
      <c r="BK202" s="687"/>
      <c r="BL202" s="687"/>
      <c r="BM202" s="687"/>
      <c r="BN202" s="687"/>
      <c r="BO202" s="687"/>
      <c r="BP202" s="687"/>
      <c r="BQ202" s="352"/>
      <c r="BR202" s="345"/>
      <c r="CB202" s="352"/>
      <c r="CC202" s="352"/>
      <c r="CD202" s="352"/>
      <c r="CE202" s="352"/>
      <c r="CF202" s="352"/>
      <c r="CG202" s="352"/>
      <c r="CH202" s="352"/>
      <c r="CI202" s="352"/>
      <c r="DB202" s="352"/>
      <c r="DC202" s="352"/>
      <c r="DD202" s="352"/>
      <c r="DE202" s="349"/>
      <c r="DF202" s="349"/>
      <c r="DG202" s="349"/>
      <c r="DH202" s="349"/>
      <c r="DI202" s="349"/>
      <c r="DJ202" s="349"/>
      <c r="DK202" s="349"/>
      <c r="DL202" s="349"/>
      <c r="DM202" s="349"/>
      <c r="DN202" s="349"/>
      <c r="DO202" s="349"/>
      <c r="DP202" s="349"/>
      <c r="DQ202" s="349"/>
      <c r="DR202" s="349"/>
      <c r="DS202" s="349"/>
      <c r="DT202" s="349"/>
      <c r="DU202" s="349"/>
      <c r="DV202" s="349"/>
      <c r="DW202" s="349"/>
      <c r="DX202" s="349"/>
      <c r="DY202" s="349"/>
      <c r="DZ202" s="349"/>
      <c r="EA202" s="349"/>
      <c r="EB202" s="349"/>
    </row>
    <row r="203" spans="2:132" ht="6" customHeight="1">
      <c r="B203" s="355"/>
      <c r="I203" s="354"/>
      <c r="J203" s="354"/>
      <c r="K203" s="349"/>
      <c r="L203" s="349"/>
      <c r="M203" s="349"/>
      <c r="S203" s="345"/>
      <c r="T203" s="701"/>
      <c r="U203" s="689"/>
      <c r="V203" s="616"/>
      <c r="W203" s="616"/>
      <c r="X203" s="616"/>
      <c r="Y203" s="643"/>
      <c r="Z203" s="643"/>
      <c r="AA203" s="643"/>
      <c r="AB203" s="643"/>
      <c r="AC203" s="643"/>
      <c r="AD203" s="643"/>
      <c r="AE203" s="643"/>
      <c r="AF203" s="643"/>
      <c r="AL203" s="630"/>
      <c r="AM203" s="630"/>
      <c r="AN203" s="630"/>
      <c r="AO203" s="630"/>
      <c r="AP203" s="630"/>
      <c r="AQ203" s="630"/>
      <c r="AR203" s="630"/>
      <c r="AS203" s="630"/>
      <c r="AT203" s="620"/>
      <c r="AU203" s="620"/>
      <c r="AV203" s="687"/>
      <c r="AW203" s="687"/>
      <c r="AX203" s="687"/>
      <c r="AY203" s="687"/>
      <c r="AZ203" s="687"/>
      <c r="BA203" s="687"/>
      <c r="BB203" s="687"/>
      <c r="BC203" s="687"/>
      <c r="BD203" s="687"/>
      <c r="BE203" s="687"/>
      <c r="BF203" s="687"/>
      <c r="BG203" s="687"/>
      <c r="BH203" s="687"/>
      <c r="BI203" s="687"/>
      <c r="BJ203" s="687"/>
      <c r="BK203" s="687"/>
      <c r="BL203" s="687"/>
      <c r="BM203" s="687"/>
      <c r="BN203" s="687"/>
      <c r="BO203" s="687"/>
      <c r="BP203" s="687"/>
      <c r="BQ203" s="352"/>
      <c r="BR203" s="345"/>
      <c r="CB203" s="352"/>
      <c r="CC203" s="352"/>
      <c r="CD203" s="352"/>
      <c r="CE203" s="352"/>
      <c r="CF203" s="352"/>
      <c r="CG203" s="352"/>
      <c r="CH203" s="352"/>
      <c r="CI203" s="352"/>
      <c r="DB203" s="352"/>
      <c r="DC203" s="352"/>
      <c r="DD203" s="352"/>
      <c r="DE203" s="349"/>
      <c r="DF203" s="349"/>
      <c r="DG203" s="349"/>
      <c r="DH203" s="349"/>
      <c r="DI203" s="349"/>
      <c r="DJ203" s="349"/>
      <c r="DK203" s="349"/>
      <c r="DL203" s="349"/>
      <c r="DM203" s="349"/>
      <c r="DN203" s="349"/>
      <c r="DO203" s="349"/>
      <c r="DP203" s="349"/>
      <c r="DQ203" s="349"/>
      <c r="DR203" s="349"/>
      <c r="DS203" s="349"/>
      <c r="DT203" s="349"/>
      <c r="DU203" s="349"/>
      <c r="DV203" s="349"/>
      <c r="DW203" s="349"/>
      <c r="DX203" s="349"/>
      <c r="DY203" s="349"/>
      <c r="DZ203" s="349"/>
      <c r="EA203" s="349"/>
      <c r="EB203" s="349"/>
    </row>
    <row r="204" spans="2:132" ht="6" customHeight="1">
      <c r="B204" s="355"/>
      <c r="I204" s="354"/>
      <c r="J204" s="354"/>
      <c r="K204" s="349"/>
      <c r="L204" s="349"/>
      <c r="M204" s="349"/>
      <c r="S204" s="345"/>
      <c r="V204" s="360"/>
      <c r="W204" s="360"/>
      <c r="X204" s="360"/>
      <c r="Y204" s="352"/>
      <c r="Z204" s="352"/>
      <c r="AA204" s="352"/>
      <c r="AB204" s="352"/>
      <c r="AC204" s="352"/>
      <c r="AD204" s="352"/>
      <c r="AE204" s="352"/>
      <c r="AF204" s="352"/>
      <c r="AL204" s="360"/>
      <c r="AM204" s="360"/>
      <c r="AN204" s="360"/>
      <c r="AO204" s="360"/>
      <c r="AP204" s="360"/>
      <c r="AQ204" s="360"/>
      <c r="AR204" s="360"/>
      <c r="AS204" s="360"/>
      <c r="AT204" s="360"/>
      <c r="AU204" s="360"/>
      <c r="AV204" s="360"/>
      <c r="AW204" s="360"/>
      <c r="AX204" s="360"/>
      <c r="AY204" s="360"/>
      <c r="AZ204" s="360"/>
      <c r="BA204" s="360"/>
      <c r="BB204" s="360"/>
      <c r="BC204" s="360"/>
      <c r="BD204" s="360"/>
      <c r="BE204" s="360"/>
      <c r="BF204" s="352"/>
      <c r="BG204" s="352"/>
      <c r="BH204" s="352"/>
      <c r="BI204" s="352"/>
      <c r="BJ204" s="352"/>
      <c r="BK204" s="352"/>
      <c r="BL204" s="352"/>
      <c r="BM204" s="352"/>
      <c r="BN204" s="352"/>
      <c r="BO204" s="352"/>
      <c r="BP204" s="352"/>
      <c r="BQ204" s="352"/>
      <c r="BR204" s="345"/>
      <c r="CB204" s="352"/>
      <c r="CC204" s="352"/>
      <c r="CD204" s="352"/>
      <c r="CE204" s="352"/>
      <c r="CF204" s="352"/>
      <c r="CG204" s="352"/>
      <c r="CH204" s="352"/>
      <c r="CI204" s="352"/>
      <c r="DB204" s="359"/>
      <c r="DC204" s="359"/>
      <c r="DD204" s="359"/>
      <c r="DE204" s="349"/>
      <c r="DF204" s="349"/>
      <c r="DG204" s="349"/>
      <c r="DH204" s="349"/>
      <c r="DI204" s="349"/>
      <c r="DJ204" s="349"/>
      <c r="DK204" s="349"/>
      <c r="DL204" s="349"/>
      <c r="DM204" s="349"/>
      <c r="DN204" s="349"/>
      <c r="DO204" s="349"/>
      <c r="DP204" s="349"/>
      <c r="DQ204" s="349"/>
      <c r="DR204" s="349"/>
      <c r="DS204" s="349"/>
      <c r="DT204" s="349"/>
      <c r="DU204" s="349"/>
      <c r="DV204" s="349"/>
      <c r="DW204" s="349"/>
      <c r="DX204" s="349"/>
      <c r="DY204" s="349"/>
      <c r="DZ204" s="349"/>
      <c r="EA204" s="349"/>
      <c r="EB204" s="349"/>
    </row>
    <row r="205" spans="2:132" ht="6" customHeight="1">
      <c r="B205" s="355"/>
      <c r="I205" s="354"/>
      <c r="J205" s="354"/>
      <c r="K205" s="349"/>
      <c r="L205" s="349"/>
      <c r="M205" s="349"/>
      <c r="S205" s="345"/>
      <c r="V205" s="360"/>
      <c r="W205" s="360"/>
      <c r="X205" s="360"/>
      <c r="Y205" s="352"/>
      <c r="Z205" s="352"/>
      <c r="AA205" s="352"/>
      <c r="AB205" s="352"/>
      <c r="AC205" s="352"/>
      <c r="AD205" s="352"/>
      <c r="AE205" s="352"/>
      <c r="AF205" s="352"/>
      <c r="AL205" s="630" t="s">
        <v>2977</v>
      </c>
      <c r="AM205" s="630"/>
      <c r="AN205" s="630"/>
      <c r="AO205" s="630"/>
      <c r="AP205" s="630"/>
      <c r="AQ205" s="630"/>
      <c r="AR205" s="630"/>
      <c r="AS205" s="630"/>
      <c r="AT205" s="352"/>
      <c r="AU205" s="352"/>
      <c r="AV205" s="687" t="str">
        <f>AV83&amp;""</f>
        <v/>
      </c>
      <c r="AW205" s="687"/>
      <c r="AX205" s="687"/>
      <c r="AY205" s="687"/>
      <c r="AZ205" s="687"/>
      <c r="BA205" s="687"/>
      <c r="BB205" s="687"/>
      <c r="BC205" s="687"/>
      <c r="BD205" s="687"/>
      <c r="BE205" s="687"/>
      <c r="BF205" s="687"/>
      <c r="BG205" s="687"/>
      <c r="BH205" s="687"/>
      <c r="BI205" s="687"/>
      <c r="BJ205" s="687"/>
      <c r="BK205" s="687"/>
      <c r="BL205" s="687"/>
      <c r="BM205" s="687"/>
      <c r="BN205" s="687"/>
      <c r="BO205" s="687"/>
      <c r="BP205" s="687"/>
      <c r="BQ205" s="352"/>
      <c r="BR205" s="345"/>
      <c r="CB205" s="352"/>
      <c r="CC205" s="352"/>
      <c r="CD205" s="352"/>
      <c r="CE205" s="352"/>
      <c r="CF205" s="352"/>
      <c r="CG205" s="352"/>
      <c r="CH205" s="352"/>
      <c r="CI205" s="352"/>
      <c r="DB205" s="359"/>
      <c r="DC205" s="359"/>
      <c r="DD205" s="359"/>
      <c r="DE205" s="349"/>
      <c r="DF205" s="349"/>
      <c r="DG205" s="349"/>
      <c r="DH205" s="349"/>
      <c r="DI205" s="349"/>
      <c r="DJ205" s="349"/>
      <c r="DK205" s="349"/>
      <c r="DL205" s="349"/>
      <c r="DM205" s="349"/>
      <c r="DN205" s="349"/>
      <c r="DO205" s="349"/>
      <c r="DP205" s="349"/>
      <c r="DQ205" s="349"/>
      <c r="DR205" s="349"/>
      <c r="DS205" s="349"/>
      <c r="DT205" s="349"/>
      <c r="DU205" s="349"/>
      <c r="DV205" s="349"/>
      <c r="DW205" s="349"/>
      <c r="DX205" s="349"/>
      <c r="DY205" s="349"/>
      <c r="DZ205" s="349"/>
      <c r="EA205" s="349"/>
      <c r="EB205" s="349"/>
    </row>
    <row r="206" spans="2:132" ht="6" customHeight="1">
      <c r="B206" s="355"/>
      <c r="I206" s="354"/>
      <c r="J206" s="354"/>
      <c r="K206" s="349"/>
      <c r="L206" s="349"/>
      <c r="M206" s="349"/>
      <c r="S206" s="345"/>
      <c r="V206" s="360"/>
      <c r="W206" s="360"/>
      <c r="X206" s="360"/>
      <c r="Y206" s="352"/>
      <c r="Z206" s="352"/>
      <c r="AA206" s="352"/>
      <c r="AB206" s="352"/>
      <c r="AC206" s="352"/>
      <c r="AD206" s="352"/>
      <c r="AE206" s="352"/>
      <c r="AF206" s="352"/>
      <c r="AL206" s="630"/>
      <c r="AM206" s="630"/>
      <c r="AN206" s="630"/>
      <c r="AO206" s="630"/>
      <c r="AP206" s="630"/>
      <c r="AQ206" s="630"/>
      <c r="AR206" s="630"/>
      <c r="AS206" s="630"/>
      <c r="AT206" s="352"/>
      <c r="AU206" s="352"/>
      <c r="AV206" s="687"/>
      <c r="AW206" s="687"/>
      <c r="AX206" s="687"/>
      <c r="AY206" s="687"/>
      <c r="AZ206" s="687"/>
      <c r="BA206" s="687"/>
      <c r="BB206" s="687"/>
      <c r="BC206" s="687"/>
      <c r="BD206" s="687"/>
      <c r="BE206" s="687"/>
      <c r="BF206" s="687"/>
      <c r="BG206" s="687"/>
      <c r="BH206" s="687"/>
      <c r="BI206" s="687"/>
      <c r="BJ206" s="687"/>
      <c r="BK206" s="687"/>
      <c r="BL206" s="687"/>
      <c r="BM206" s="687"/>
      <c r="BN206" s="687"/>
      <c r="BO206" s="687"/>
      <c r="BP206" s="687"/>
      <c r="BQ206" s="352"/>
      <c r="BR206" s="345"/>
      <c r="CB206" s="352"/>
      <c r="CC206" s="352"/>
      <c r="CD206" s="352"/>
      <c r="CE206" s="352"/>
      <c r="CF206" s="352"/>
      <c r="CG206" s="352"/>
      <c r="CH206" s="352"/>
      <c r="CI206" s="352"/>
      <c r="DB206" s="359"/>
      <c r="DC206" s="359"/>
      <c r="DD206" s="359"/>
      <c r="DE206" s="349"/>
      <c r="DF206" s="349"/>
      <c r="DG206" s="349"/>
      <c r="DH206" s="349"/>
      <c r="DI206" s="349"/>
      <c r="DJ206" s="349"/>
      <c r="DK206" s="349"/>
      <c r="DL206" s="349"/>
      <c r="DM206" s="349"/>
      <c r="DN206" s="349"/>
      <c r="DO206" s="349"/>
      <c r="DP206" s="349"/>
      <c r="DQ206" s="349"/>
      <c r="DR206" s="349"/>
      <c r="DS206" s="349"/>
      <c r="DT206" s="349"/>
      <c r="DU206" s="349"/>
      <c r="DV206" s="349"/>
      <c r="DW206" s="349"/>
      <c r="DX206" s="349"/>
      <c r="DY206" s="349"/>
      <c r="DZ206" s="349"/>
      <c r="EA206" s="349"/>
      <c r="EB206" s="349"/>
    </row>
    <row r="207" spans="2:132" ht="6" customHeight="1">
      <c r="B207" s="358"/>
      <c r="C207" s="341"/>
      <c r="D207" s="341"/>
      <c r="E207" s="341"/>
      <c r="F207" s="341"/>
      <c r="G207" s="341"/>
      <c r="H207" s="341"/>
      <c r="I207" s="357"/>
      <c r="J207" s="357"/>
      <c r="K207" s="356"/>
      <c r="L207" s="356"/>
      <c r="M207" s="356"/>
      <c r="N207" s="341"/>
      <c r="O207" s="341"/>
      <c r="P207" s="341"/>
      <c r="Q207" s="341"/>
      <c r="R207" s="341"/>
      <c r="S207" s="340"/>
      <c r="T207" s="341"/>
      <c r="U207" s="341"/>
      <c r="V207" s="341"/>
      <c r="W207" s="341"/>
      <c r="X207" s="341"/>
      <c r="Y207" s="341"/>
      <c r="Z207" s="341"/>
      <c r="AA207" s="341"/>
      <c r="AB207" s="341"/>
      <c r="AC207" s="341"/>
      <c r="AD207" s="341"/>
      <c r="AE207" s="341"/>
      <c r="AF207" s="341"/>
      <c r="AG207" s="341"/>
      <c r="AH207" s="341"/>
      <c r="AI207" s="341"/>
      <c r="AJ207" s="341"/>
      <c r="AK207" s="341"/>
      <c r="AL207" s="341"/>
      <c r="AM207" s="341"/>
      <c r="AN207" s="341"/>
      <c r="AO207" s="341"/>
      <c r="AP207" s="341"/>
      <c r="AQ207" s="341"/>
      <c r="AR207" s="341"/>
      <c r="AS207" s="341"/>
      <c r="AT207" s="341"/>
      <c r="AU207" s="341"/>
      <c r="AV207" s="341"/>
      <c r="AW207" s="341"/>
      <c r="AX207" s="341"/>
      <c r="AY207" s="341"/>
      <c r="AZ207" s="341"/>
      <c r="BA207" s="341"/>
      <c r="BB207" s="341"/>
      <c r="BC207" s="341"/>
      <c r="BD207" s="341"/>
      <c r="BE207" s="341"/>
      <c r="BF207" s="341"/>
      <c r="BG207" s="341"/>
      <c r="BH207" s="341"/>
      <c r="BI207" s="341"/>
      <c r="BJ207" s="341"/>
      <c r="BK207" s="341"/>
      <c r="BL207" s="341"/>
      <c r="BM207" s="341"/>
      <c r="BN207" s="341"/>
      <c r="BO207" s="341"/>
      <c r="BP207" s="341"/>
      <c r="BQ207" s="341"/>
      <c r="BR207" s="340"/>
      <c r="DE207" s="349"/>
      <c r="DF207" s="349"/>
      <c r="DG207" s="349"/>
      <c r="DH207" s="349"/>
      <c r="DI207" s="349"/>
      <c r="DJ207" s="349"/>
      <c r="DK207" s="349"/>
      <c r="DL207" s="349"/>
      <c r="DM207" s="349"/>
      <c r="DN207" s="349"/>
      <c r="DO207" s="349"/>
      <c r="DP207" s="349"/>
      <c r="DQ207" s="349"/>
      <c r="DR207" s="349"/>
      <c r="DS207" s="349"/>
      <c r="DT207" s="349"/>
      <c r="DU207" s="349"/>
      <c r="DV207" s="349"/>
      <c r="DW207" s="349"/>
      <c r="DX207" s="349"/>
      <c r="DY207" s="349"/>
      <c r="DZ207" s="349"/>
      <c r="EA207" s="349"/>
      <c r="EB207" s="349"/>
    </row>
    <row r="208" spans="2:132" ht="6" customHeight="1">
      <c r="B208" s="645">
        <v>9</v>
      </c>
      <c r="C208" s="640"/>
      <c r="E208" s="638" t="s">
        <v>2976</v>
      </c>
      <c r="F208" s="638"/>
      <c r="G208" s="638"/>
      <c r="H208" s="638"/>
      <c r="I208" s="638"/>
      <c r="J208" s="638"/>
      <c r="K208" s="638"/>
      <c r="L208" s="638"/>
      <c r="M208" s="638"/>
      <c r="N208" s="638"/>
      <c r="O208" s="638"/>
      <c r="P208" s="638"/>
      <c r="Q208" s="638"/>
      <c r="R208" s="638"/>
      <c r="S208" s="345"/>
      <c r="AA208" s="702" t="str">
        <f>AA86&amp;""</f>
        <v/>
      </c>
      <c r="AB208" s="702"/>
      <c r="AC208" s="702"/>
      <c r="AD208" s="702"/>
      <c r="AE208" s="702"/>
      <c r="AF208" s="702"/>
      <c r="AG208" s="702"/>
      <c r="AI208" s="643" t="s">
        <v>2975</v>
      </c>
      <c r="AJ208" s="643"/>
      <c r="AK208" s="643"/>
      <c r="AL208" s="643"/>
      <c r="AM208" s="643"/>
      <c r="AN208" s="643"/>
      <c r="BR208" s="345"/>
      <c r="DE208" s="349"/>
      <c r="DF208" s="349"/>
      <c r="DG208" s="349"/>
      <c r="DH208" s="349"/>
      <c r="DI208" s="349"/>
      <c r="DJ208" s="349"/>
      <c r="DK208" s="349"/>
      <c r="DL208" s="349"/>
      <c r="DM208" s="349"/>
      <c r="DN208" s="349"/>
      <c r="DO208" s="349"/>
      <c r="DP208" s="349"/>
      <c r="DQ208" s="349"/>
      <c r="DR208" s="349"/>
      <c r="DS208" s="349"/>
      <c r="DT208" s="349"/>
      <c r="DU208" s="349"/>
      <c r="DV208" s="349"/>
      <c r="DW208" s="349"/>
      <c r="DX208" s="349"/>
      <c r="DY208" s="349"/>
      <c r="DZ208" s="349"/>
      <c r="EA208" s="349"/>
      <c r="EB208" s="349"/>
    </row>
    <row r="209" spans="2:132" ht="6" customHeight="1">
      <c r="B209" s="645"/>
      <c r="C209" s="640"/>
      <c r="E209" s="638"/>
      <c r="F209" s="638"/>
      <c r="G209" s="638"/>
      <c r="H209" s="638"/>
      <c r="I209" s="638"/>
      <c r="J209" s="638"/>
      <c r="K209" s="638"/>
      <c r="L209" s="638"/>
      <c r="M209" s="638"/>
      <c r="N209" s="638"/>
      <c r="O209" s="638"/>
      <c r="P209" s="638"/>
      <c r="Q209" s="638"/>
      <c r="R209" s="638"/>
      <c r="S209" s="345"/>
      <c r="AA209" s="702"/>
      <c r="AB209" s="702"/>
      <c r="AC209" s="702"/>
      <c r="AD209" s="702"/>
      <c r="AE209" s="702"/>
      <c r="AF209" s="702"/>
      <c r="AG209" s="702"/>
      <c r="AI209" s="643"/>
      <c r="AJ209" s="643"/>
      <c r="AK209" s="643"/>
      <c r="AL209" s="643"/>
      <c r="AM209" s="643"/>
      <c r="AN209" s="643"/>
      <c r="BR209" s="345"/>
      <c r="DE209" s="349"/>
      <c r="DF209" s="349"/>
      <c r="DG209" s="349"/>
      <c r="DH209" s="349"/>
      <c r="DI209" s="349"/>
      <c r="DJ209" s="349"/>
      <c r="DK209" s="349"/>
      <c r="DL209" s="349"/>
      <c r="DM209" s="349"/>
      <c r="DN209" s="349"/>
      <c r="DO209" s="349"/>
      <c r="DP209" s="349"/>
      <c r="DQ209" s="349"/>
      <c r="DR209" s="349"/>
      <c r="DS209" s="349"/>
      <c r="DT209" s="349"/>
      <c r="DU209" s="349"/>
      <c r="DV209" s="349"/>
      <c r="DW209" s="349"/>
      <c r="DX209" s="349"/>
      <c r="DY209" s="349"/>
      <c r="DZ209" s="349"/>
      <c r="EA209" s="349"/>
      <c r="EB209" s="349"/>
    </row>
    <row r="210" spans="2:132" ht="6" customHeight="1">
      <c r="B210" s="645"/>
      <c r="C210" s="640"/>
      <c r="E210" s="638"/>
      <c r="F210" s="638"/>
      <c r="G210" s="638"/>
      <c r="H210" s="638"/>
      <c r="I210" s="638"/>
      <c r="J210" s="638"/>
      <c r="K210" s="638"/>
      <c r="L210" s="638"/>
      <c r="M210" s="638"/>
      <c r="N210" s="638"/>
      <c r="O210" s="638"/>
      <c r="P210" s="638"/>
      <c r="Q210" s="638"/>
      <c r="R210" s="638"/>
      <c r="S210" s="345"/>
      <c r="AA210" s="702"/>
      <c r="AB210" s="702"/>
      <c r="AC210" s="702"/>
      <c r="AD210" s="702"/>
      <c r="AE210" s="702"/>
      <c r="AF210" s="702"/>
      <c r="AG210" s="702"/>
      <c r="AI210" s="643"/>
      <c r="AJ210" s="643"/>
      <c r="AK210" s="643"/>
      <c r="AL210" s="643"/>
      <c r="AM210" s="643"/>
      <c r="AN210" s="643"/>
      <c r="BR210" s="345"/>
      <c r="DE210" s="349"/>
      <c r="DF210" s="349"/>
      <c r="DG210" s="349"/>
      <c r="DH210" s="349"/>
      <c r="DI210" s="349"/>
      <c r="DJ210" s="349"/>
      <c r="DK210" s="349"/>
      <c r="DL210" s="349"/>
      <c r="DM210" s="349"/>
      <c r="DN210" s="349"/>
      <c r="DO210" s="349"/>
      <c r="DP210" s="349"/>
      <c r="DQ210" s="349"/>
      <c r="DR210" s="349"/>
      <c r="DS210" s="349"/>
      <c r="DT210" s="349"/>
      <c r="DU210" s="349"/>
      <c r="DV210" s="349"/>
      <c r="DW210" s="349"/>
      <c r="DX210" s="349"/>
      <c r="DY210" s="349"/>
      <c r="DZ210" s="349"/>
      <c r="EA210" s="349"/>
      <c r="EB210" s="349"/>
    </row>
    <row r="211" spans="2:132" ht="6" customHeight="1">
      <c r="B211" s="645"/>
      <c r="C211" s="640"/>
      <c r="E211" s="638"/>
      <c r="F211" s="638"/>
      <c r="G211" s="638"/>
      <c r="H211" s="638"/>
      <c r="I211" s="638"/>
      <c r="J211" s="638"/>
      <c r="K211" s="638"/>
      <c r="L211" s="638"/>
      <c r="M211" s="638"/>
      <c r="N211" s="638"/>
      <c r="O211" s="638"/>
      <c r="P211" s="638"/>
      <c r="Q211" s="638"/>
      <c r="R211" s="638"/>
      <c r="S211" s="345"/>
      <c r="AA211" s="702"/>
      <c r="AB211" s="702"/>
      <c r="AC211" s="702"/>
      <c r="AD211" s="702"/>
      <c r="AE211" s="702"/>
      <c r="AF211" s="702"/>
      <c r="AG211" s="702"/>
      <c r="AI211" s="643"/>
      <c r="AJ211" s="643"/>
      <c r="AK211" s="643"/>
      <c r="AL211" s="643"/>
      <c r="AM211" s="643"/>
      <c r="AN211" s="643"/>
      <c r="BR211" s="345"/>
      <c r="DE211" s="349"/>
      <c r="DF211" s="349"/>
      <c r="DG211" s="349"/>
      <c r="DH211" s="349"/>
      <c r="DI211" s="349"/>
      <c r="DJ211" s="349"/>
      <c r="DK211" s="349"/>
      <c r="DL211" s="349"/>
      <c r="DM211" s="349"/>
      <c r="DN211" s="349"/>
      <c r="DO211" s="349"/>
      <c r="DP211" s="349"/>
      <c r="DQ211" s="349"/>
      <c r="DR211" s="349"/>
      <c r="DS211" s="349"/>
      <c r="DT211" s="349"/>
      <c r="DU211" s="349"/>
      <c r="DV211" s="349"/>
      <c r="DW211" s="349"/>
      <c r="DX211" s="349"/>
      <c r="DY211" s="349"/>
      <c r="DZ211" s="349"/>
      <c r="EA211" s="349"/>
      <c r="EB211" s="349"/>
    </row>
    <row r="212" spans="2:132" ht="6" customHeight="1">
      <c r="B212" s="665"/>
      <c r="C212" s="641"/>
      <c r="D212" s="341"/>
      <c r="E212" s="639"/>
      <c r="F212" s="639"/>
      <c r="G212" s="639"/>
      <c r="H212" s="639"/>
      <c r="I212" s="639"/>
      <c r="J212" s="639"/>
      <c r="K212" s="639"/>
      <c r="L212" s="639"/>
      <c r="M212" s="639"/>
      <c r="N212" s="639"/>
      <c r="O212" s="639"/>
      <c r="P212" s="639"/>
      <c r="Q212" s="639"/>
      <c r="R212" s="639"/>
      <c r="S212" s="340"/>
      <c r="T212" s="341"/>
      <c r="U212" s="341"/>
      <c r="V212" s="341"/>
      <c r="W212" s="341"/>
      <c r="X212" s="341"/>
      <c r="Y212" s="341"/>
      <c r="Z212" s="341"/>
      <c r="AA212" s="703"/>
      <c r="AB212" s="703"/>
      <c r="AC212" s="703"/>
      <c r="AD212" s="703"/>
      <c r="AE212" s="703"/>
      <c r="AF212" s="703"/>
      <c r="AG212" s="703"/>
      <c r="AH212" s="341"/>
      <c r="AI212" s="668"/>
      <c r="AJ212" s="668"/>
      <c r="AK212" s="668"/>
      <c r="AL212" s="668"/>
      <c r="AM212" s="668"/>
      <c r="AN212" s="668"/>
      <c r="AO212" s="341"/>
      <c r="AP212" s="341"/>
      <c r="AQ212" s="341"/>
      <c r="AR212" s="341"/>
      <c r="AS212" s="341"/>
      <c r="AT212" s="341"/>
      <c r="AU212" s="341"/>
      <c r="AV212" s="341"/>
      <c r="AW212" s="341"/>
      <c r="AX212" s="341"/>
      <c r="AY212" s="341"/>
      <c r="AZ212" s="341"/>
      <c r="BA212" s="341"/>
      <c r="BB212" s="341"/>
      <c r="BC212" s="341"/>
      <c r="BD212" s="341"/>
      <c r="BE212" s="341"/>
      <c r="BF212" s="341"/>
      <c r="BG212" s="341"/>
      <c r="BH212" s="341"/>
      <c r="BI212" s="341"/>
      <c r="BJ212" s="341"/>
      <c r="BK212" s="341"/>
      <c r="BL212" s="341"/>
      <c r="BM212" s="341"/>
      <c r="BN212" s="341"/>
      <c r="BO212" s="341"/>
      <c r="BP212" s="341"/>
      <c r="BQ212" s="341"/>
      <c r="BR212" s="340"/>
      <c r="DE212" s="349"/>
      <c r="DF212" s="349"/>
      <c r="DG212" s="349"/>
      <c r="DH212" s="349"/>
      <c r="DI212" s="349"/>
      <c r="DJ212" s="349"/>
      <c r="DK212" s="349"/>
      <c r="DL212" s="349"/>
      <c r="DM212" s="349"/>
      <c r="DN212" s="349"/>
      <c r="DO212" s="349"/>
      <c r="DP212" s="349"/>
      <c r="DQ212" s="349"/>
      <c r="DR212" s="349"/>
      <c r="DS212" s="349"/>
      <c r="DT212" s="349"/>
      <c r="DU212" s="349"/>
      <c r="DV212" s="349"/>
      <c r="DW212" s="349"/>
      <c r="DX212" s="349"/>
      <c r="DY212" s="349"/>
      <c r="DZ212" s="349"/>
      <c r="EA212" s="349"/>
      <c r="EB212" s="349"/>
    </row>
    <row r="213" spans="2:132" ht="6" customHeight="1">
      <c r="B213" s="355">
        <v>10</v>
      </c>
      <c r="S213" s="345"/>
      <c r="BR213" s="345"/>
      <c r="DE213" s="349"/>
      <c r="DF213" s="349"/>
      <c r="DG213" s="349"/>
      <c r="DH213" s="349"/>
      <c r="DI213" s="349"/>
      <c r="DJ213" s="349"/>
      <c r="DK213" s="349"/>
      <c r="DL213" s="349"/>
      <c r="DM213" s="349"/>
      <c r="DN213" s="349"/>
      <c r="DO213" s="349"/>
      <c r="DP213" s="349"/>
      <c r="DQ213" s="349"/>
      <c r="DR213" s="349"/>
      <c r="DS213" s="349"/>
      <c r="DT213" s="349"/>
      <c r="DU213" s="349"/>
      <c r="DV213" s="349"/>
      <c r="DW213" s="349"/>
      <c r="DX213" s="349"/>
      <c r="DY213" s="349"/>
      <c r="DZ213" s="349"/>
      <c r="EA213" s="349"/>
      <c r="EB213" s="349"/>
    </row>
    <row r="214" spans="2:132" ht="6" customHeight="1">
      <c r="B214" s="355"/>
      <c r="I214" s="354"/>
      <c r="J214" s="354"/>
      <c r="K214" s="354"/>
      <c r="S214" s="345"/>
      <c r="T214" s="353"/>
      <c r="U214" s="352"/>
      <c r="V214" s="616" t="s">
        <v>53</v>
      </c>
      <c r="W214" s="616"/>
      <c r="X214" s="616"/>
      <c r="Y214" s="643" t="s">
        <v>2974</v>
      </c>
      <c r="Z214" s="643"/>
      <c r="AA214" s="643"/>
      <c r="AB214" s="643"/>
      <c r="AC214" s="643"/>
      <c r="AD214" s="643"/>
      <c r="AE214" s="643"/>
      <c r="AF214" s="643"/>
      <c r="AG214" s="643"/>
      <c r="AH214" s="643"/>
      <c r="AI214" s="643"/>
      <c r="AJ214" s="643"/>
      <c r="AK214" s="643"/>
      <c r="AL214" s="643"/>
      <c r="AM214" s="643"/>
      <c r="AN214" s="643"/>
      <c r="AO214" s="643"/>
      <c r="AP214" s="643"/>
      <c r="AQ214" s="643"/>
      <c r="AR214" s="643"/>
      <c r="AS214" s="643"/>
      <c r="AT214" s="643"/>
      <c r="AU214" s="643"/>
      <c r="AV214" s="643"/>
      <c r="AW214" s="643"/>
      <c r="AX214" s="643"/>
      <c r="AY214" s="643"/>
      <c r="AZ214" s="643"/>
      <c r="BA214" s="643"/>
      <c r="BB214" s="643"/>
      <c r="BC214" s="643"/>
      <c r="BR214" s="345"/>
    </row>
    <row r="215" spans="2:132" ht="6" customHeight="1">
      <c r="B215" s="355"/>
      <c r="I215" s="354"/>
      <c r="J215" s="354"/>
      <c r="K215" s="354"/>
      <c r="S215" s="345"/>
      <c r="T215" s="353"/>
      <c r="U215" s="352"/>
      <c r="V215" s="616"/>
      <c r="W215" s="616"/>
      <c r="X215" s="616"/>
      <c r="Y215" s="643"/>
      <c r="Z215" s="643"/>
      <c r="AA215" s="643"/>
      <c r="AB215" s="643"/>
      <c r="AC215" s="643"/>
      <c r="AD215" s="643"/>
      <c r="AE215" s="643"/>
      <c r="AF215" s="643"/>
      <c r="AG215" s="643"/>
      <c r="AH215" s="643"/>
      <c r="AI215" s="643"/>
      <c r="AJ215" s="643"/>
      <c r="AK215" s="643"/>
      <c r="AL215" s="643"/>
      <c r="AM215" s="643"/>
      <c r="AN215" s="643"/>
      <c r="AO215" s="643"/>
      <c r="AP215" s="643"/>
      <c r="AQ215" s="643"/>
      <c r="AR215" s="643"/>
      <c r="AS215" s="643"/>
      <c r="AT215" s="643"/>
      <c r="AU215" s="643"/>
      <c r="AV215" s="643"/>
      <c r="AW215" s="643"/>
      <c r="AX215" s="643"/>
      <c r="AY215" s="643"/>
      <c r="AZ215" s="643"/>
      <c r="BA215" s="643"/>
      <c r="BB215" s="643"/>
      <c r="BC215" s="643"/>
      <c r="BR215" s="345"/>
    </row>
    <row r="216" spans="2:132" ht="6" customHeight="1">
      <c r="B216" s="355"/>
      <c r="S216" s="345"/>
      <c r="T216" s="352"/>
      <c r="U216" s="352"/>
      <c r="Y216" s="616" t="s">
        <v>2973</v>
      </c>
      <c r="Z216" s="616"/>
      <c r="AA216" s="616"/>
      <c r="AB216" s="702" t="str">
        <f>AB94&amp;""</f>
        <v/>
      </c>
      <c r="AC216" s="702"/>
      <c r="AD216" s="702"/>
      <c r="AE216" s="702"/>
      <c r="AF216" s="702"/>
      <c r="AG216" s="616" t="s">
        <v>2972</v>
      </c>
      <c r="AH216" s="616"/>
      <c r="AI216" s="616"/>
      <c r="AJ216" s="616"/>
      <c r="AK216" s="702" t="str">
        <f>AK94&amp;""</f>
        <v/>
      </c>
      <c r="AL216" s="702"/>
      <c r="AM216" s="702"/>
      <c r="AN216" s="702"/>
      <c r="AO216" s="702"/>
      <c r="AP216" s="616" t="s">
        <v>4</v>
      </c>
      <c r="AQ216" s="616"/>
      <c r="AR216" s="349"/>
      <c r="AS216" s="349"/>
      <c r="AT216" s="349"/>
      <c r="AU216" s="349"/>
      <c r="AV216" s="349"/>
      <c r="AW216" s="349"/>
      <c r="AX216" s="349"/>
      <c r="AY216" s="349"/>
      <c r="AZ216" s="349"/>
      <c r="BR216" s="345"/>
    </row>
    <row r="217" spans="2:132" ht="6" customHeight="1">
      <c r="B217" s="669">
        <v>10</v>
      </c>
      <c r="C217" s="655"/>
      <c r="D217" s="655"/>
      <c r="E217" s="643" t="s">
        <v>2971</v>
      </c>
      <c r="F217" s="643"/>
      <c r="G217" s="643"/>
      <c r="H217" s="643"/>
      <c r="I217" s="643"/>
      <c r="J217" s="643"/>
      <c r="K217" s="643"/>
      <c r="L217" s="643"/>
      <c r="M217" s="643"/>
      <c r="N217" s="643"/>
      <c r="O217" s="643"/>
      <c r="P217" s="643"/>
      <c r="Q217" s="643"/>
      <c r="R217" s="643"/>
      <c r="S217" s="646"/>
      <c r="T217" s="348"/>
      <c r="Y217" s="616"/>
      <c r="Z217" s="616"/>
      <c r="AA217" s="616"/>
      <c r="AB217" s="702"/>
      <c r="AC217" s="702"/>
      <c r="AD217" s="702"/>
      <c r="AE217" s="702"/>
      <c r="AF217" s="702"/>
      <c r="AG217" s="616"/>
      <c r="AH217" s="616"/>
      <c r="AI217" s="616"/>
      <c r="AJ217" s="616"/>
      <c r="AK217" s="702"/>
      <c r="AL217" s="702"/>
      <c r="AM217" s="702"/>
      <c r="AN217" s="702"/>
      <c r="AO217" s="702"/>
      <c r="AP217" s="616"/>
      <c r="AQ217" s="616"/>
      <c r="AR217" s="349"/>
      <c r="AS217" s="349"/>
      <c r="AT217" s="349"/>
      <c r="AU217" s="349"/>
      <c r="AV217" s="349"/>
      <c r="AW217" s="349"/>
      <c r="AX217" s="349"/>
      <c r="AY217" s="349"/>
      <c r="AZ217" s="349"/>
      <c r="BR217" s="345"/>
    </row>
    <row r="218" spans="2:132" ht="6" customHeight="1">
      <c r="B218" s="669"/>
      <c r="C218" s="655"/>
      <c r="D218" s="655"/>
      <c r="E218" s="643"/>
      <c r="F218" s="643"/>
      <c r="G218" s="643"/>
      <c r="H218" s="643"/>
      <c r="I218" s="643"/>
      <c r="J218" s="643"/>
      <c r="K218" s="643"/>
      <c r="L218" s="643"/>
      <c r="M218" s="643"/>
      <c r="N218" s="643"/>
      <c r="O218" s="643"/>
      <c r="P218" s="643"/>
      <c r="Q218" s="643"/>
      <c r="R218" s="643"/>
      <c r="S218" s="646"/>
      <c r="AL218" s="349"/>
      <c r="AM218" s="349"/>
      <c r="AN218" s="349"/>
      <c r="AO218" s="349"/>
      <c r="AP218" s="349"/>
      <c r="AQ218" s="349"/>
      <c r="AR218" s="349"/>
      <c r="AS218" s="349"/>
      <c r="AT218" s="349"/>
      <c r="AU218" s="349"/>
      <c r="AV218" s="349"/>
      <c r="AW218" s="349"/>
      <c r="AX218" s="349"/>
      <c r="AY218" s="349"/>
      <c r="AZ218" s="349"/>
      <c r="BR218" s="345"/>
    </row>
    <row r="219" spans="2:132" ht="6" customHeight="1">
      <c r="B219" s="669"/>
      <c r="C219" s="655"/>
      <c r="D219" s="655"/>
      <c r="E219" s="643"/>
      <c r="F219" s="643"/>
      <c r="G219" s="643"/>
      <c r="H219" s="643"/>
      <c r="I219" s="643"/>
      <c r="J219" s="643"/>
      <c r="K219" s="643"/>
      <c r="L219" s="643"/>
      <c r="M219" s="643"/>
      <c r="N219" s="643"/>
      <c r="O219" s="643"/>
      <c r="P219" s="643"/>
      <c r="Q219" s="643"/>
      <c r="R219" s="643"/>
      <c r="S219" s="646"/>
      <c r="T219" s="353"/>
      <c r="U219" s="352"/>
      <c r="V219" s="616" t="s">
        <v>55</v>
      </c>
      <c r="W219" s="616"/>
      <c r="X219" s="616"/>
      <c r="Y219" s="643" t="s">
        <v>2970</v>
      </c>
      <c r="Z219" s="643"/>
      <c r="AA219" s="643"/>
      <c r="AB219" s="643"/>
      <c r="AC219" s="643"/>
      <c r="AD219" s="643"/>
      <c r="AE219" s="643"/>
      <c r="AF219" s="643"/>
      <c r="AG219" s="643"/>
      <c r="BR219" s="345"/>
    </row>
    <row r="220" spans="2:132" ht="6" customHeight="1">
      <c r="B220" s="355"/>
      <c r="I220" s="354"/>
      <c r="J220" s="354"/>
      <c r="K220" s="354"/>
      <c r="S220" s="345"/>
      <c r="T220" s="353"/>
      <c r="U220" s="352"/>
      <c r="V220" s="616"/>
      <c r="W220" s="616"/>
      <c r="X220" s="616"/>
      <c r="Y220" s="643"/>
      <c r="Z220" s="643"/>
      <c r="AA220" s="643"/>
      <c r="AB220" s="643"/>
      <c r="AC220" s="643"/>
      <c r="AD220" s="643"/>
      <c r="AE220" s="643"/>
      <c r="AF220" s="643"/>
      <c r="AG220" s="643"/>
      <c r="BR220" s="345"/>
    </row>
    <row r="221" spans="2:132" ht="6" customHeight="1">
      <c r="B221" s="348"/>
      <c r="S221" s="345"/>
      <c r="Y221" s="640" t="s">
        <v>3</v>
      </c>
      <c r="Z221" s="640"/>
      <c r="AA221" s="687" t="str">
        <f>AA99&amp;""</f>
        <v/>
      </c>
      <c r="AB221" s="687"/>
      <c r="AC221" s="687"/>
      <c r="AD221" s="687"/>
      <c r="AE221" s="687"/>
      <c r="AF221" s="687"/>
      <c r="AG221" s="687"/>
      <c r="AH221" s="687"/>
      <c r="AI221" s="687"/>
      <c r="AJ221" s="687"/>
      <c r="AK221" s="687"/>
      <c r="AL221" s="687"/>
      <c r="AM221" s="687"/>
      <c r="AN221" s="687"/>
      <c r="AO221" s="687"/>
      <c r="AP221" s="687"/>
      <c r="AQ221" s="687"/>
      <c r="AR221" s="687"/>
      <c r="AS221" s="687"/>
      <c r="AT221" s="687"/>
      <c r="AU221" s="687"/>
      <c r="AV221" s="687"/>
      <c r="AW221" s="687"/>
      <c r="AX221" s="687"/>
      <c r="AY221" s="687"/>
      <c r="AZ221" s="687"/>
      <c r="BA221" s="687"/>
      <c r="BB221" s="687"/>
      <c r="BC221" s="687"/>
      <c r="BD221" s="687"/>
      <c r="BE221" s="687"/>
      <c r="BF221" s="687"/>
      <c r="BG221" s="687"/>
      <c r="BH221" s="687"/>
      <c r="BI221" s="687"/>
      <c r="BJ221" s="687"/>
      <c r="BK221" s="687"/>
      <c r="BL221" s="687"/>
      <c r="BM221" s="687"/>
      <c r="BN221" s="687"/>
      <c r="BO221" s="687"/>
      <c r="BP221" s="640" t="s">
        <v>4</v>
      </c>
      <c r="BQ221" s="640"/>
      <c r="BR221" s="345"/>
    </row>
    <row r="222" spans="2:132" ht="6" customHeight="1">
      <c r="B222" s="348"/>
      <c r="S222" s="345"/>
      <c r="Y222" s="640"/>
      <c r="Z222" s="640"/>
      <c r="AA222" s="687"/>
      <c r="AB222" s="687"/>
      <c r="AC222" s="687"/>
      <c r="AD222" s="687"/>
      <c r="AE222" s="687"/>
      <c r="AF222" s="687"/>
      <c r="AG222" s="687"/>
      <c r="AH222" s="687"/>
      <c r="AI222" s="687"/>
      <c r="AJ222" s="687"/>
      <c r="AK222" s="687"/>
      <c r="AL222" s="687"/>
      <c r="AM222" s="687"/>
      <c r="AN222" s="687"/>
      <c r="AO222" s="687"/>
      <c r="AP222" s="687"/>
      <c r="AQ222" s="687"/>
      <c r="AR222" s="687"/>
      <c r="AS222" s="687"/>
      <c r="AT222" s="687"/>
      <c r="AU222" s="687"/>
      <c r="AV222" s="687"/>
      <c r="AW222" s="687"/>
      <c r="AX222" s="687"/>
      <c r="AY222" s="687"/>
      <c r="AZ222" s="687"/>
      <c r="BA222" s="687"/>
      <c r="BB222" s="687"/>
      <c r="BC222" s="687"/>
      <c r="BD222" s="687"/>
      <c r="BE222" s="687"/>
      <c r="BF222" s="687"/>
      <c r="BG222" s="687"/>
      <c r="BH222" s="687"/>
      <c r="BI222" s="687"/>
      <c r="BJ222" s="687"/>
      <c r="BK222" s="687"/>
      <c r="BL222" s="687"/>
      <c r="BM222" s="687"/>
      <c r="BN222" s="687"/>
      <c r="BO222" s="687"/>
      <c r="BP222" s="640"/>
      <c r="BQ222" s="640"/>
      <c r="BR222" s="345"/>
    </row>
    <row r="223" spans="2:132" ht="6" customHeight="1">
      <c r="B223" s="344"/>
      <c r="C223" s="341"/>
      <c r="D223" s="341"/>
      <c r="E223" s="341"/>
      <c r="F223" s="341"/>
      <c r="G223" s="341"/>
      <c r="H223" s="341"/>
      <c r="I223" s="341"/>
      <c r="J223" s="341"/>
      <c r="K223" s="341"/>
      <c r="L223" s="341"/>
      <c r="M223" s="341"/>
      <c r="N223" s="341"/>
      <c r="O223" s="341"/>
      <c r="P223" s="341"/>
      <c r="Q223" s="341"/>
      <c r="R223" s="341"/>
      <c r="S223" s="340"/>
      <c r="T223" s="341"/>
      <c r="U223" s="341"/>
      <c r="V223" s="341"/>
      <c r="W223" s="341"/>
      <c r="X223" s="343"/>
      <c r="Y223" s="343"/>
      <c r="Z223" s="343"/>
      <c r="AA223" s="343"/>
      <c r="AB223" s="343"/>
      <c r="AC223" s="343"/>
      <c r="AD223" s="343"/>
      <c r="AE223" s="343"/>
      <c r="AF223" s="343"/>
      <c r="AG223" s="343"/>
      <c r="AH223" s="343"/>
      <c r="AI223" s="343"/>
      <c r="AJ223" s="343"/>
      <c r="AK223" s="343"/>
      <c r="AL223" s="343"/>
      <c r="AM223" s="343"/>
      <c r="AN223" s="343"/>
      <c r="AO223" s="343"/>
      <c r="AP223" s="343"/>
      <c r="AQ223" s="343"/>
      <c r="AR223" s="343"/>
      <c r="AS223" s="343"/>
      <c r="AT223" s="343"/>
      <c r="AU223" s="343"/>
      <c r="AV223" s="343"/>
      <c r="AW223" s="343"/>
      <c r="AX223" s="343"/>
      <c r="AY223" s="343"/>
      <c r="AZ223" s="343"/>
      <c r="BA223" s="343"/>
      <c r="BB223" s="343"/>
      <c r="BC223" s="343"/>
      <c r="BD223" s="343"/>
      <c r="BE223" s="343"/>
      <c r="BF223" s="343"/>
      <c r="BG223" s="343"/>
      <c r="BH223" s="341"/>
      <c r="BI223" s="341"/>
      <c r="BJ223" s="341"/>
      <c r="BK223" s="341"/>
      <c r="BL223" s="341"/>
      <c r="BM223" s="341"/>
      <c r="BN223" s="341"/>
      <c r="BO223" s="341"/>
      <c r="BP223" s="341"/>
      <c r="BQ223" s="341"/>
      <c r="BR223" s="340"/>
    </row>
    <row r="224" spans="2:132" ht="6" customHeight="1">
      <c r="B224" s="348"/>
      <c r="S224" s="345"/>
      <c r="T224" s="670" t="s">
        <v>2969</v>
      </c>
      <c r="U224" s="638"/>
      <c r="V224" s="638"/>
      <c r="W224" s="638"/>
      <c r="X224" s="638"/>
      <c r="Y224" s="638"/>
      <c r="Z224" s="345"/>
      <c r="AA224" s="347"/>
      <c r="AB224" s="616" t="s">
        <v>2968</v>
      </c>
      <c r="AC224" s="616"/>
      <c r="AD224" s="616"/>
      <c r="AE224" s="616"/>
      <c r="AG224" s="688" t="str">
        <f>AG102&amp;""</f>
        <v/>
      </c>
      <c r="AH224" s="688"/>
      <c r="AI224" s="688"/>
      <c r="AJ224" s="688"/>
      <c r="AK224" s="688"/>
      <c r="AL224" s="688"/>
      <c r="AM224" s="688"/>
      <c r="AN224" s="616" t="s">
        <v>2967</v>
      </c>
      <c r="AO224" s="616"/>
      <c r="AP224" s="616"/>
      <c r="AQ224" s="616"/>
      <c r="AR224" s="346"/>
      <c r="AS224" s="347"/>
      <c r="AT224" s="638" t="s">
        <v>2966</v>
      </c>
      <c r="AU224" s="638"/>
      <c r="AV224" s="638"/>
      <c r="AW224" s="638"/>
      <c r="AX224" s="638"/>
      <c r="AY224" s="638"/>
      <c r="AZ224" s="346"/>
      <c r="BA224" s="347"/>
      <c r="BB224" s="706" t="str">
        <f>BB102&amp;""</f>
        <v/>
      </c>
      <c r="BC224" s="706"/>
      <c r="BD224" s="706"/>
      <c r="BE224" s="706"/>
      <c r="BF224" s="706"/>
      <c r="BG224" s="706"/>
      <c r="BH224" s="706"/>
      <c r="BI224" s="706"/>
      <c r="BM224" s="616" t="s">
        <v>2965</v>
      </c>
      <c r="BN224" s="616"/>
      <c r="BO224" s="616"/>
      <c r="BP224" s="616"/>
      <c r="BQ224" s="616"/>
      <c r="BR224" s="345"/>
    </row>
    <row r="225" spans="2:70" ht="6" customHeight="1">
      <c r="B225" s="348"/>
      <c r="S225" s="345"/>
      <c r="T225" s="670"/>
      <c r="U225" s="638"/>
      <c r="V225" s="638"/>
      <c r="W225" s="638"/>
      <c r="X225" s="638"/>
      <c r="Y225" s="638"/>
      <c r="Z225" s="345"/>
      <c r="AA225" s="347"/>
      <c r="AB225" s="616"/>
      <c r="AC225" s="616"/>
      <c r="AD225" s="616"/>
      <c r="AE225" s="616"/>
      <c r="AG225" s="688"/>
      <c r="AH225" s="688"/>
      <c r="AI225" s="688"/>
      <c r="AJ225" s="688"/>
      <c r="AK225" s="688"/>
      <c r="AL225" s="688"/>
      <c r="AM225" s="688"/>
      <c r="AN225" s="616"/>
      <c r="AO225" s="616"/>
      <c r="AP225" s="616"/>
      <c r="AQ225" s="616"/>
      <c r="AR225" s="346"/>
      <c r="AS225" s="347"/>
      <c r="AT225" s="638"/>
      <c r="AU225" s="638"/>
      <c r="AV225" s="638"/>
      <c r="AW225" s="638"/>
      <c r="AX225" s="638"/>
      <c r="AY225" s="638"/>
      <c r="AZ225" s="346"/>
      <c r="BA225" s="347"/>
      <c r="BB225" s="706"/>
      <c r="BC225" s="706"/>
      <c r="BD225" s="706"/>
      <c r="BE225" s="706"/>
      <c r="BF225" s="706"/>
      <c r="BG225" s="706"/>
      <c r="BH225" s="706"/>
      <c r="BI225" s="706"/>
      <c r="BM225" s="616"/>
      <c r="BN225" s="616"/>
      <c r="BO225" s="616"/>
      <c r="BP225" s="616"/>
      <c r="BQ225" s="616"/>
      <c r="BR225" s="345"/>
    </row>
    <row r="226" spans="2:70" ht="6" customHeight="1">
      <c r="B226" s="348"/>
      <c r="S226" s="345"/>
      <c r="T226" s="670"/>
      <c r="U226" s="638"/>
      <c r="V226" s="638"/>
      <c r="W226" s="638"/>
      <c r="X226" s="638"/>
      <c r="Y226" s="638"/>
      <c r="Z226" s="345"/>
      <c r="AA226" s="347"/>
      <c r="AB226" s="616"/>
      <c r="AC226" s="616"/>
      <c r="AD226" s="616"/>
      <c r="AE226" s="616"/>
      <c r="AG226" s="688"/>
      <c r="AH226" s="688"/>
      <c r="AI226" s="688"/>
      <c r="AJ226" s="688"/>
      <c r="AK226" s="688"/>
      <c r="AL226" s="688"/>
      <c r="AM226" s="688"/>
      <c r="AN226" s="616"/>
      <c r="AO226" s="616"/>
      <c r="AP226" s="616"/>
      <c r="AQ226" s="616"/>
      <c r="AR226" s="346"/>
      <c r="AS226" s="347"/>
      <c r="AT226" s="638"/>
      <c r="AU226" s="638"/>
      <c r="AV226" s="638"/>
      <c r="AW226" s="638"/>
      <c r="AX226" s="638"/>
      <c r="AY226" s="638"/>
      <c r="AZ226" s="346"/>
      <c r="BA226" s="347"/>
      <c r="BB226" s="706"/>
      <c r="BC226" s="706"/>
      <c r="BD226" s="706"/>
      <c r="BE226" s="706"/>
      <c r="BF226" s="706"/>
      <c r="BG226" s="706"/>
      <c r="BH226" s="706"/>
      <c r="BI226" s="706"/>
      <c r="BM226" s="616"/>
      <c r="BN226" s="616"/>
      <c r="BO226" s="616"/>
      <c r="BP226" s="616"/>
      <c r="BQ226" s="616"/>
      <c r="BR226" s="345"/>
    </row>
    <row r="227" spans="2:70" ht="6" customHeight="1">
      <c r="B227" s="348"/>
      <c r="S227" s="345"/>
      <c r="T227" s="670"/>
      <c r="U227" s="638"/>
      <c r="V227" s="638"/>
      <c r="W227" s="638"/>
      <c r="X227" s="638"/>
      <c r="Y227" s="638"/>
      <c r="Z227" s="345"/>
      <c r="AA227" s="347"/>
      <c r="AB227" s="616"/>
      <c r="AC227" s="616"/>
      <c r="AD227" s="616"/>
      <c r="AE227" s="616"/>
      <c r="AG227" s="688"/>
      <c r="AH227" s="688"/>
      <c r="AI227" s="688"/>
      <c r="AJ227" s="688"/>
      <c r="AK227" s="688"/>
      <c r="AL227" s="688"/>
      <c r="AM227" s="688"/>
      <c r="AN227" s="616"/>
      <c r="AO227" s="616"/>
      <c r="AP227" s="616"/>
      <c r="AQ227" s="616"/>
      <c r="AR227" s="346"/>
      <c r="AS227" s="347"/>
      <c r="AT227" s="638"/>
      <c r="AU227" s="638"/>
      <c r="AV227" s="638"/>
      <c r="AW227" s="638"/>
      <c r="AX227" s="638"/>
      <c r="AY227" s="638"/>
      <c r="AZ227" s="346"/>
      <c r="BA227" s="347"/>
      <c r="BB227" s="706"/>
      <c r="BC227" s="706"/>
      <c r="BD227" s="706"/>
      <c r="BE227" s="706"/>
      <c r="BF227" s="706"/>
      <c r="BG227" s="706"/>
      <c r="BH227" s="706"/>
      <c r="BI227" s="706"/>
      <c r="BM227" s="616"/>
      <c r="BN227" s="616"/>
      <c r="BO227" s="616"/>
      <c r="BP227" s="616"/>
      <c r="BQ227" s="616"/>
      <c r="BR227" s="345"/>
    </row>
    <row r="228" spans="2:70" ht="6" customHeight="1">
      <c r="B228" s="669">
        <v>11</v>
      </c>
      <c r="C228" s="655"/>
      <c r="D228" s="655"/>
      <c r="E228" s="638" t="s">
        <v>2964</v>
      </c>
      <c r="F228" s="638"/>
      <c r="G228" s="638"/>
      <c r="H228" s="638"/>
      <c r="I228" s="638"/>
      <c r="J228" s="638"/>
      <c r="K228" s="638"/>
      <c r="L228" s="638"/>
      <c r="M228" s="638"/>
      <c r="N228" s="638"/>
      <c r="O228" s="638"/>
      <c r="P228" s="638"/>
      <c r="Q228" s="638"/>
      <c r="R228" s="638"/>
      <c r="S228" s="345"/>
      <c r="T228" s="671"/>
      <c r="U228" s="639"/>
      <c r="V228" s="639"/>
      <c r="W228" s="639"/>
      <c r="X228" s="639"/>
      <c r="Y228" s="639"/>
      <c r="Z228" s="340"/>
      <c r="AA228" s="343"/>
      <c r="AB228" s="618"/>
      <c r="AC228" s="618"/>
      <c r="AD228" s="618"/>
      <c r="AE228" s="618"/>
      <c r="AF228" s="341"/>
      <c r="AG228" s="705"/>
      <c r="AH228" s="705"/>
      <c r="AI228" s="705"/>
      <c r="AJ228" s="705"/>
      <c r="AK228" s="705"/>
      <c r="AL228" s="705"/>
      <c r="AM228" s="705"/>
      <c r="AN228" s="618"/>
      <c r="AO228" s="618"/>
      <c r="AP228" s="618"/>
      <c r="AQ228" s="618"/>
      <c r="AR228" s="342"/>
      <c r="AS228" s="343"/>
      <c r="AT228" s="639"/>
      <c r="AU228" s="639"/>
      <c r="AV228" s="639"/>
      <c r="AW228" s="639"/>
      <c r="AX228" s="639"/>
      <c r="AY228" s="639"/>
      <c r="AZ228" s="342"/>
      <c r="BA228" s="343"/>
      <c r="BB228" s="707"/>
      <c r="BC228" s="707"/>
      <c r="BD228" s="707"/>
      <c r="BE228" s="707"/>
      <c r="BF228" s="707"/>
      <c r="BG228" s="707"/>
      <c r="BH228" s="707"/>
      <c r="BI228" s="707"/>
      <c r="BJ228" s="341"/>
      <c r="BK228" s="341"/>
      <c r="BL228" s="341"/>
      <c r="BM228" s="618"/>
      <c r="BN228" s="618"/>
      <c r="BO228" s="618"/>
      <c r="BP228" s="618"/>
      <c r="BQ228" s="618"/>
      <c r="BR228" s="340"/>
    </row>
    <row r="229" spans="2:70" ht="6" customHeight="1">
      <c r="B229" s="669"/>
      <c r="C229" s="655"/>
      <c r="D229" s="655"/>
      <c r="E229" s="638"/>
      <c r="F229" s="638"/>
      <c r="G229" s="638"/>
      <c r="H229" s="638"/>
      <c r="I229" s="638"/>
      <c r="J229" s="638"/>
      <c r="K229" s="638"/>
      <c r="L229" s="638"/>
      <c r="M229" s="638"/>
      <c r="N229" s="638"/>
      <c r="O229" s="638"/>
      <c r="P229" s="638"/>
      <c r="Q229" s="638"/>
      <c r="R229" s="638"/>
      <c r="S229" s="346"/>
      <c r="T229" s="670" t="s">
        <v>2963</v>
      </c>
      <c r="U229" s="638"/>
      <c r="V229" s="638"/>
      <c r="W229" s="638"/>
      <c r="X229" s="638"/>
      <c r="Y229" s="638"/>
      <c r="Z229" s="345"/>
      <c r="AB229" s="687" t="str">
        <f>AB107&amp;""</f>
        <v/>
      </c>
      <c r="AC229" s="687"/>
      <c r="AD229" s="687"/>
      <c r="AE229" s="687"/>
      <c r="AF229" s="687"/>
      <c r="AG229" s="687"/>
      <c r="AH229" s="687"/>
      <c r="AI229" s="687"/>
      <c r="AJ229" s="687"/>
      <c r="AK229" s="687"/>
      <c r="AL229" s="687"/>
      <c r="AM229" s="687"/>
      <c r="AN229" s="687"/>
      <c r="AO229" s="687"/>
      <c r="AP229" s="687"/>
      <c r="AQ229" s="687"/>
      <c r="AR229" s="346"/>
      <c r="AS229" s="349"/>
      <c r="AT229" s="616" t="s">
        <v>2962</v>
      </c>
      <c r="AU229" s="616"/>
      <c r="AV229" s="616"/>
      <c r="AW229" s="616"/>
      <c r="AX229" s="616"/>
      <c r="AY229" s="616"/>
      <c r="AZ229" s="346"/>
      <c r="BA229" s="347"/>
      <c r="BB229" s="688" t="str">
        <f>BB107&amp;""</f>
        <v>〇</v>
      </c>
      <c r="BC229" s="688"/>
      <c r="BD229" s="616" t="s">
        <v>2961</v>
      </c>
      <c r="BE229" s="616"/>
      <c r="BF229" s="616"/>
      <c r="BG229" s="616"/>
      <c r="BH229" s="640" t="s">
        <v>2960</v>
      </c>
      <c r="BI229" s="640"/>
      <c r="BJ229" s="688" t="str">
        <f>BJ107&amp;""</f>
        <v/>
      </c>
      <c r="BK229" s="688"/>
      <c r="BL229" s="616" t="s">
        <v>2959</v>
      </c>
      <c r="BM229" s="616"/>
      <c r="BN229" s="616"/>
      <c r="BO229" s="616"/>
      <c r="BR229" s="345"/>
    </row>
    <row r="230" spans="2:70" ht="6" customHeight="1">
      <c r="B230" s="351"/>
      <c r="C230" s="350"/>
      <c r="D230" s="350"/>
      <c r="E230" s="339"/>
      <c r="F230" s="339"/>
      <c r="G230" s="339"/>
      <c r="H230" s="339"/>
      <c r="I230" s="339"/>
      <c r="J230" s="339"/>
      <c r="K230" s="339"/>
      <c r="L230" s="339"/>
      <c r="M230" s="339"/>
      <c r="N230" s="339"/>
      <c r="O230" s="339"/>
      <c r="P230" s="339"/>
      <c r="Q230" s="339"/>
      <c r="R230" s="339"/>
      <c r="S230" s="346"/>
      <c r="T230" s="670"/>
      <c r="U230" s="638"/>
      <c r="V230" s="638"/>
      <c r="W230" s="638"/>
      <c r="X230" s="638"/>
      <c r="Y230" s="638"/>
      <c r="Z230" s="345"/>
      <c r="AB230" s="687"/>
      <c r="AC230" s="687"/>
      <c r="AD230" s="687"/>
      <c r="AE230" s="687"/>
      <c r="AF230" s="687"/>
      <c r="AG230" s="687"/>
      <c r="AH230" s="687"/>
      <c r="AI230" s="687"/>
      <c r="AJ230" s="687"/>
      <c r="AK230" s="687"/>
      <c r="AL230" s="687"/>
      <c r="AM230" s="687"/>
      <c r="AN230" s="687"/>
      <c r="AO230" s="687"/>
      <c r="AP230" s="687"/>
      <c r="AQ230" s="687"/>
      <c r="AR230" s="346"/>
      <c r="AS230" s="349"/>
      <c r="AT230" s="616"/>
      <c r="AU230" s="616"/>
      <c r="AV230" s="616"/>
      <c r="AW230" s="616"/>
      <c r="AX230" s="616"/>
      <c r="AY230" s="616"/>
      <c r="AZ230" s="346"/>
      <c r="BA230" s="347"/>
      <c r="BB230" s="688"/>
      <c r="BC230" s="688"/>
      <c r="BD230" s="616"/>
      <c r="BE230" s="616"/>
      <c r="BF230" s="616"/>
      <c r="BG230" s="616"/>
      <c r="BH230" s="640"/>
      <c r="BI230" s="640"/>
      <c r="BJ230" s="688"/>
      <c r="BK230" s="688"/>
      <c r="BL230" s="616"/>
      <c r="BM230" s="616"/>
      <c r="BN230" s="616"/>
      <c r="BO230" s="616"/>
      <c r="BR230" s="345"/>
    </row>
    <row r="231" spans="2:70" ht="6" customHeight="1">
      <c r="B231" s="351"/>
      <c r="C231" s="350"/>
      <c r="D231" s="350"/>
      <c r="E231" s="339"/>
      <c r="F231" s="339"/>
      <c r="G231" s="339"/>
      <c r="H231" s="339"/>
      <c r="I231" s="339"/>
      <c r="J231" s="339"/>
      <c r="K231" s="339"/>
      <c r="L231" s="339"/>
      <c r="M231" s="339"/>
      <c r="N231" s="339"/>
      <c r="O231" s="339"/>
      <c r="P231" s="339"/>
      <c r="Q231" s="339"/>
      <c r="R231" s="339"/>
      <c r="S231" s="346"/>
      <c r="T231" s="670"/>
      <c r="U231" s="638"/>
      <c r="V231" s="638"/>
      <c r="W231" s="638"/>
      <c r="X231" s="638"/>
      <c r="Y231" s="638"/>
      <c r="Z231" s="345"/>
      <c r="AB231" s="687"/>
      <c r="AC231" s="687"/>
      <c r="AD231" s="687"/>
      <c r="AE231" s="687"/>
      <c r="AF231" s="687"/>
      <c r="AG231" s="687"/>
      <c r="AH231" s="687"/>
      <c r="AI231" s="687"/>
      <c r="AJ231" s="687"/>
      <c r="AK231" s="687"/>
      <c r="AL231" s="687"/>
      <c r="AM231" s="687"/>
      <c r="AN231" s="687"/>
      <c r="AO231" s="687"/>
      <c r="AP231" s="687"/>
      <c r="AQ231" s="687"/>
      <c r="AR231" s="346"/>
      <c r="AS231" s="349"/>
      <c r="AT231" s="616"/>
      <c r="AU231" s="616"/>
      <c r="AV231" s="616"/>
      <c r="AW231" s="616"/>
      <c r="AX231" s="616"/>
      <c r="AY231" s="616"/>
      <c r="AZ231" s="346"/>
      <c r="BA231" s="347"/>
      <c r="BB231" s="688"/>
      <c r="BC231" s="688"/>
      <c r="BD231" s="616"/>
      <c r="BE231" s="616"/>
      <c r="BF231" s="616"/>
      <c r="BG231" s="616"/>
      <c r="BH231" s="640"/>
      <c r="BI231" s="640"/>
      <c r="BJ231" s="688"/>
      <c r="BK231" s="688"/>
      <c r="BL231" s="616"/>
      <c r="BM231" s="616"/>
      <c r="BN231" s="616"/>
      <c r="BO231" s="616"/>
      <c r="BR231" s="345"/>
    </row>
    <row r="232" spans="2:70" ht="6" customHeight="1">
      <c r="B232" s="348"/>
      <c r="I232" s="347"/>
      <c r="J232" s="347"/>
      <c r="K232" s="347"/>
      <c r="L232" s="347"/>
      <c r="M232" s="347"/>
      <c r="N232" s="347"/>
      <c r="O232" s="347"/>
      <c r="P232" s="347"/>
      <c r="Q232" s="347"/>
      <c r="R232" s="347"/>
      <c r="S232" s="346"/>
      <c r="T232" s="670"/>
      <c r="U232" s="638"/>
      <c r="V232" s="638"/>
      <c r="W232" s="638"/>
      <c r="X232" s="638"/>
      <c r="Y232" s="638"/>
      <c r="Z232" s="345"/>
      <c r="AB232" s="687"/>
      <c r="AC232" s="687"/>
      <c r="AD232" s="687"/>
      <c r="AE232" s="687"/>
      <c r="AF232" s="687"/>
      <c r="AG232" s="687"/>
      <c r="AH232" s="687"/>
      <c r="AI232" s="687"/>
      <c r="AJ232" s="687"/>
      <c r="AK232" s="687"/>
      <c r="AL232" s="687"/>
      <c r="AM232" s="687"/>
      <c r="AN232" s="687"/>
      <c r="AO232" s="687"/>
      <c r="AP232" s="687"/>
      <c r="AQ232" s="687"/>
      <c r="AR232" s="345"/>
      <c r="AT232" s="616"/>
      <c r="AU232" s="616"/>
      <c r="AV232" s="616"/>
      <c r="AW232" s="616"/>
      <c r="AX232" s="616"/>
      <c r="AY232" s="616"/>
      <c r="AZ232" s="345"/>
      <c r="BB232" s="688"/>
      <c r="BC232" s="688"/>
      <c r="BD232" s="616"/>
      <c r="BE232" s="616"/>
      <c r="BF232" s="616"/>
      <c r="BG232" s="616"/>
      <c r="BH232" s="640"/>
      <c r="BI232" s="640"/>
      <c r="BJ232" s="688"/>
      <c r="BK232" s="688"/>
      <c r="BL232" s="616"/>
      <c r="BM232" s="616"/>
      <c r="BN232" s="616"/>
      <c r="BO232" s="616"/>
      <c r="BR232" s="345"/>
    </row>
    <row r="233" spans="2:70" ht="6" customHeight="1">
      <c r="B233" s="344"/>
      <c r="C233" s="341"/>
      <c r="D233" s="341"/>
      <c r="E233" s="341"/>
      <c r="F233" s="341"/>
      <c r="G233" s="341"/>
      <c r="H233" s="341"/>
      <c r="I233" s="343"/>
      <c r="J233" s="343"/>
      <c r="K233" s="343"/>
      <c r="L233" s="343"/>
      <c r="M233" s="343"/>
      <c r="N233" s="343"/>
      <c r="O233" s="343"/>
      <c r="P233" s="343"/>
      <c r="Q233" s="343"/>
      <c r="R233" s="343"/>
      <c r="S233" s="342"/>
      <c r="T233" s="671"/>
      <c r="U233" s="639"/>
      <c r="V233" s="639"/>
      <c r="W233" s="639"/>
      <c r="X233" s="639"/>
      <c r="Y233" s="639"/>
      <c r="Z233" s="340"/>
      <c r="AA233" s="341"/>
      <c r="AB233" s="704"/>
      <c r="AC233" s="704"/>
      <c r="AD233" s="704"/>
      <c r="AE233" s="704"/>
      <c r="AF233" s="704"/>
      <c r="AG233" s="704"/>
      <c r="AH233" s="704"/>
      <c r="AI233" s="704"/>
      <c r="AJ233" s="704"/>
      <c r="AK233" s="704"/>
      <c r="AL233" s="704"/>
      <c r="AM233" s="704"/>
      <c r="AN233" s="704"/>
      <c r="AO233" s="704"/>
      <c r="AP233" s="704"/>
      <c r="AQ233" s="704"/>
      <c r="AR233" s="340"/>
      <c r="AS233" s="341"/>
      <c r="AT233" s="618"/>
      <c r="AU233" s="618"/>
      <c r="AV233" s="618"/>
      <c r="AW233" s="618"/>
      <c r="AX233" s="618"/>
      <c r="AY233" s="618"/>
      <c r="AZ233" s="340"/>
      <c r="BA233" s="341"/>
      <c r="BB233" s="705"/>
      <c r="BC233" s="705"/>
      <c r="BD233" s="618"/>
      <c r="BE233" s="618"/>
      <c r="BF233" s="618"/>
      <c r="BG233" s="618"/>
      <c r="BH233" s="641"/>
      <c r="BI233" s="641"/>
      <c r="BJ233" s="705"/>
      <c r="BK233" s="705"/>
      <c r="BL233" s="618"/>
      <c r="BM233" s="618"/>
      <c r="BN233" s="618"/>
      <c r="BO233" s="618"/>
      <c r="BP233" s="341"/>
      <c r="BQ233" s="341"/>
      <c r="BR233" s="340"/>
    </row>
    <row r="234" spans="2:70" ht="15" customHeight="1">
      <c r="B234" s="677" t="s">
        <v>2958</v>
      </c>
      <c r="C234" s="677"/>
      <c r="D234" s="677"/>
      <c r="F234" s="678">
        <v>1</v>
      </c>
      <c r="G234" s="678"/>
      <c r="H234" s="679" t="s">
        <v>2957</v>
      </c>
      <c r="I234" s="679"/>
      <c r="J234" s="679"/>
      <c r="K234" s="679"/>
      <c r="L234" s="679"/>
      <c r="M234" s="679"/>
      <c r="N234" s="679"/>
      <c r="O234" s="679"/>
      <c r="P234" s="679"/>
      <c r="Q234" s="679"/>
      <c r="R234" s="679"/>
      <c r="S234" s="679"/>
      <c r="T234" s="679"/>
      <c r="U234" s="679"/>
      <c r="V234" s="679"/>
      <c r="W234" s="679"/>
      <c r="X234" s="679"/>
      <c r="Y234" s="679"/>
      <c r="Z234" s="679"/>
      <c r="AA234" s="679"/>
      <c r="AB234" s="679"/>
      <c r="AC234" s="679"/>
      <c r="AD234" s="679"/>
      <c r="AE234" s="679"/>
      <c r="AF234" s="679"/>
      <c r="AG234" s="679"/>
      <c r="AH234" s="679"/>
      <c r="AI234" s="679"/>
      <c r="AJ234" s="679"/>
      <c r="AK234" s="679"/>
      <c r="AL234" s="679"/>
      <c r="AM234" s="679"/>
      <c r="AN234" s="679"/>
      <c r="AO234" s="679"/>
      <c r="AP234" s="679"/>
      <c r="AQ234" s="679"/>
      <c r="AR234" s="679"/>
      <c r="AS234" s="679"/>
      <c r="AT234" s="679"/>
      <c r="AU234" s="679"/>
      <c r="AV234" s="679"/>
      <c r="AW234" s="679"/>
      <c r="AX234" s="679"/>
      <c r="AY234" s="679"/>
      <c r="AZ234" s="679"/>
      <c r="BA234" s="679"/>
      <c r="BB234" s="679"/>
      <c r="BC234" s="679"/>
      <c r="BD234" s="679"/>
      <c r="BE234" s="679"/>
      <c r="BF234" s="679"/>
      <c r="BG234" s="679"/>
      <c r="BH234" s="679"/>
      <c r="BI234" s="679"/>
      <c r="BJ234" s="679"/>
      <c r="BK234" s="679"/>
      <c r="BL234" s="679"/>
      <c r="BM234" s="679"/>
      <c r="BN234" s="679"/>
      <c r="BO234" s="679"/>
      <c r="BP234" s="679"/>
      <c r="BQ234" s="679"/>
      <c r="BR234" s="679"/>
    </row>
    <row r="235" spans="2:70" ht="15" customHeight="1">
      <c r="C235" s="339">
        <v>2</v>
      </c>
      <c r="F235" s="678">
        <v>2</v>
      </c>
      <c r="G235" s="678"/>
      <c r="H235" s="680" t="s">
        <v>2956</v>
      </c>
      <c r="I235" s="680"/>
      <c r="J235" s="680"/>
      <c r="K235" s="680"/>
      <c r="L235" s="680"/>
      <c r="M235" s="680"/>
      <c r="N235" s="680"/>
      <c r="O235" s="680"/>
      <c r="P235" s="680"/>
      <c r="Q235" s="680"/>
      <c r="R235" s="680"/>
      <c r="S235" s="680"/>
      <c r="T235" s="680"/>
      <c r="U235" s="680"/>
      <c r="V235" s="680"/>
      <c r="W235" s="680"/>
      <c r="X235" s="680"/>
      <c r="Y235" s="680"/>
      <c r="Z235" s="680"/>
      <c r="AA235" s="680"/>
      <c r="AB235" s="680"/>
      <c r="AC235" s="680"/>
      <c r="AD235" s="680"/>
      <c r="AE235" s="680"/>
      <c r="AF235" s="680"/>
      <c r="AG235" s="680"/>
      <c r="AH235" s="680"/>
      <c r="AI235" s="680"/>
      <c r="AJ235" s="680"/>
      <c r="AK235" s="680"/>
      <c r="AL235" s="680"/>
      <c r="AM235" s="680"/>
      <c r="AN235" s="680"/>
      <c r="AO235" s="680"/>
      <c r="AP235" s="680"/>
      <c r="AQ235" s="680"/>
      <c r="AR235" s="680"/>
      <c r="AS235" s="680"/>
      <c r="AT235" s="680"/>
      <c r="AU235" s="680"/>
      <c r="AV235" s="680"/>
      <c r="AW235" s="680"/>
      <c r="AX235" s="680"/>
      <c r="AY235" s="680"/>
      <c r="AZ235" s="680"/>
      <c r="BA235" s="680"/>
      <c r="BB235" s="680"/>
      <c r="BC235" s="680"/>
      <c r="BD235" s="680"/>
      <c r="BE235" s="680"/>
      <c r="BF235" s="680"/>
      <c r="BG235" s="680"/>
      <c r="BH235" s="680"/>
      <c r="BI235" s="680"/>
      <c r="BJ235" s="680"/>
      <c r="BK235" s="680"/>
      <c r="BL235" s="680"/>
      <c r="BM235" s="680"/>
      <c r="BN235" s="680"/>
      <c r="BO235" s="680"/>
      <c r="BP235" s="680"/>
      <c r="BQ235" s="680"/>
      <c r="BR235" s="680"/>
    </row>
    <row r="236" spans="2:70" ht="15" customHeight="1">
      <c r="C236" s="339">
        <v>3</v>
      </c>
      <c r="F236" s="678">
        <v>3</v>
      </c>
      <c r="G236" s="678"/>
      <c r="H236" s="680" t="s">
        <v>2955</v>
      </c>
      <c r="I236" s="680"/>
      <c r="J236" s="680"/>
      <c r="K236" s="680"/>
      <c r="L236" s="680"/>
      <c r="M236" s="680"/>
      <c r="N236" s="680"/>
      <c r="O236" s="680"/>
      <c r="P236" s="680"/>
      <c r="Q236" s="680"/>
      <c r="R236" s="680"/>
      <c r="S236" s="680"/>
      <c r="T236" s="680"/>
      <c r="U236" s="680"/>
      <c r="V236" s="680"/>
      <c r="W236" s="680"/>
      <c r="X236" s="680"/>
      <c r="Y236" s="680"/>
      <c r="Z236" s="680"/>
      <c r="AA236" s="680"/>
      <c r="AB236" s="680"/>
      <c r="AC236" s="680"/>
      <c r="AD236" s="680"/>
      <c r="AE236" s="680"/>
      <c r="AF236" s="680"/>
      <c r="AG236" s="680"/>
      <c r="AH236" s="680"/>
      <c r="AI236" s="680"/>
      <c r="AJ236" s="680"/>
      <c r="AK236" s="680"/>
      <c r="AL236" s="680"/>
      <c r="AM236" s="680"/>
      <c r="AN236" s="680"/>
      <c r="AO236" s="680"/>
      <c r="AP236" s="680"/>
      <c r="AQ236" s="680"/>
      <c r="AR236" s="680"/>
      <c r="AS236" s="680"/>
      <c r="AT236" s="680"/>
      <c r="AU236" s="680"/>
      <c r="AV236" s="680"/>
      <c r="AW236" s="680"/>
      <c r="AX236" s="680"/>
      <c r="AY236" s="680"/>
      <c r="AZ236" s="680"/>
      <c r="BA236" s="680"/>
      <c r="BB236" s="680"/>
      <c r="BC236" s="680"/>
      <c r="BD236" s="680"/>
      <c r="BE236" s="680"/>
      <c r="BF236" s="680"/>
      <c r="BG236" s="680"/>
      <c r="BH236" s="680"/>
      <c r="BI236" s="680"/>
      <c r="BJ236" s="680"/>
      <c r="BK236" s="680"/>
      <c r="BL236" s="680"/>
      <c r="BM236" s="680"/>
      <c r="BN236" s="680"/>
      <c r="BO236" s="680"/>
      <c r="BP236" s="680"/>
      <c r="BQ236" s="680"/>
      <c r="BR236" s="680"/>
    </row>
    <row r="237" spans="2:70" ht="15" customHeight="1">
      <c r="C237" s="339">
        <v>4</v>
      </c>
      <c r="F237" s="678">
        <v>4</v>
      </c>
      <c r="G237" s="678"/>
      <c r="H237" s="684" t="s">
        <v>3258</v>
      </c>
      <c r="I237" s="684"/>
      <c r="J237" s="684"/>
      <c r="K237" s="684"/>
      <c r="L237" s="684"/>
      <c r="M237" s="684"/>
      <c r="N237" s="684"/>
      <c r="O237" s="684"/>
      <c r="P237" s="684"/>
      <c r="Q237" s="684"/>
      <c r="R237" s="684"/>
      <c r="S237" s="684"/>
      <c r="T237" s="684"/>
      <c r="U237" s="684"/>
      <c r="V237" s="684"/>
      <c r="W237" s="684"/>
      <c r="X237" s="684"/>
      <c r="Y237" s="684"/>
      <c r="Z237" s="684"/>
      <c r="AA237" s="684"/>
      <c r="AB237" s="684"/>
      <c r="AC237" s="684"/>
      <c r="AD237" s="684"/>
      <c r="AE237" s="684"/>
      <c r="AF237" s="684"/>
      <c r="AG237" s="684"/>
      <c r="AH237" s="684"/>
      <c r="AI237" s="684"/>
      <c r="AJ237" s="684"/>
      <c r="AK237" s="684"/>
      <c r="AL237" s="684"/>
      <c r="AM237" s="684"/>
      <c r="AN237" s="684"/>
      <c r="AO237" s="684"/>
      <c r="AP237" s="684"/>
      <c r="AQ237" s="684"/>
      <c r="AR237" s="684"/>
      <c r="AS237" s="684"/>
      <c r="AT237" s="684"/>
      <c r="AU237" s="684"/>
      <c r="AV237" s="684"/>
      <c r="AW237" s="684"/>
      <c r="AX237" s="684"/>
      <c r="AY237" s="684"/>
      <c r="AZ237" s="684"/>
      <c r="BA237" s="684"/>
      <c r="BB237" s="684"/>
      <c r="BC237" s="684"/>
      <c r="BD237" s="684"/>
      <c r="BE237" s="684"/>
      <c r="BF237" s="684"/>
      <c r="BG237" s="684"/>
      <c r="BH237" s="684"/>
      <c r="BI237" s="684"/>
      <c r="BJ237" s="684"/>
      <c r="BK237" s="684"/>
      <c r="BL237" s="684"/>
      <c r="BM237" s="684"/>
      <c r="BN237" s="684"/>
      <c r="BO237" s="684"/>
      <c r="BP237" s="684"/>
      <c r="BQ237" s="684"/>
      <c r="BR237" s="684"/>
    </row>
    <row r="238" spans="2:70" ht="15" customHeight="1">
      <c r="C238" s="339"/>
      <c r="F238" s="678"/>
      <c r="G238" s="678"/>
      <c r="H238" s="684" t="s">
        <v>2954</v>
      </c>
      <c r="I238" s="684"/>
      <c r="J238" s="684"/>
      <c r="K238" s="684"/>
      <c r="L238" s="684"/>
      <c r="M238" s="684"/>
      <c r="N238" s="684"/>
      <c r="O238" s="684"/>
      <c r="P238" s="684"/>
      <c r="Q238" s="684"/>
      <c r="R238" s="684"/>
      <c r="S238" s="684"/>
      <c r="T238" s="684"/>
      <c r="U238" s="684"/>
      <c r="V238" s="684"/>
      <c r="W238" s="684"/>
      <c r="X238" s="684"/>
      <c r="Y238" s="684"/>
      <c r="Z238" s="684"/>
      <c r="AA238" s="684"/>
      <c r="AB238" s="684"/>
      <c r="AC238" s="684"/>
      <c r="AD238" s="684"/>
      <c r="AE238" s="684"/>
      <c r="AF238" s="684"/>
      <c r="AG238" s="684"/>
      <c r="AH238" s="684"/>
      <c r="AI238" s="684"/>
      <c r="AJ238" s="684"/>
      <c r="AK238" s="684"/>
      <c r="AL238" s="684"/>
      <c r="AM238" s="684"/>
      <c r="AN238" s="684"/>
      <c r="AO238" s="684"/>
      <c r="AP238" s="684"/>
      <c r="AQ238" s="684"/>
      <c r="AR238" s="684"/>
      <c r="AS238" s="684"/>
      <c r="AT238" s="684"/>
      <c r="AU238" s="684"/>
      <c r="AV238" s="684"/>
      <c r="AW238" s="684"/>
      <c r="AX238" s="684"/>
      <c r="AY238" s="684"/>
      <c r="AZ238" s="684"/>
      <c r="BA238" s="684"/>
      <c r="BB238" s="684"/>
      <c r="BC238" s="684"/>
      <c r="BD238" s="684"/>
      <c r="BE238" s="684"/>
      <c r="BF238" s="684"/>
      <c r="BG238" s="684"/>
      <c r="BH238" s="684"/>
      <c r="BI238" s="684"/>
      <c r="BJ238" s="684"/>
      <c r="BK238" s="684"/>
      <c r="BL238" s="684"/>
      <c r="BM238" s="684"/>
      <c r="BN238" s="684"/>
      <c r="BO238" s="684"/>
      <c r="BP238" s="684"/>
      <c r="BQ238" s="684"/>
      <c r="BR238" s="684"/>
    </row>
    <row r="239" spans="2:70" ht="15" customHeight="1">
      <c r="C239" s="339">
        <v>5</v>
      </c>
      <c r="F239" s="678">
        <v>5</v>
      </c>
      <c r="G239" s="678"/>
      <c r="H239" s="680" t="s">
        <v>2953</v>
      </c>
      <c r="I239" s="680"/>
      <c r="J239" s="680"/>
      <c r="K239" s="680"/>
      <c r="L239" s="680"/>
      <c r="M239" s="680"/>
      <c r="N239" s="680"/>
      <c r="O239" s="680"/>
      <c r="P239" s="680"/>
      <c r="Q239" s="680"/>
      <c r="R239" s="680"/>
      <c r="S239" s="680"/>
      <c r="T239" s="680"/>
      <c r="U239" s="680"/>
      <c r="V239" s="680"/>
      <c r="W239" s="680"/>
      <c r="X239" s="680"/>
      <c r="Y239" s="680"/>
      <c r="Z239" s="680"/>
      <c r="AA239" s="680"/>
      <c r="AB239" s="680"/>
      <c r="AC239" s="680"/>
      <c r="AD239" s="680"/>
      <c r="AE239" s="680"/>
      <c r="AF239" s="680"/>
      <c r="AG239" s="680"/>
      <c r="AH239" s="680"/>
      <c r="AI239" s="680"/>
      <c r="AJ239" s="680"/>
      <c r="AK239" s="680"/>
      <c r="AL239" s="680"/>
      <c r="AM239" s="680"/>
      <c r="AN239" s="680"/>
      <c r="AO239" s="680"/>
      <c r="AP239" s="680"/>
      <c r="AQ239" s="680"/>
      <c r="AR239" s="680"/>
      <c r="AS239" s="680"/>
      <c r="AT239" s="680"/>
      <c r="AU239" s="680"/>
      <c r="AV239" s="680"/>
      <c r="AW239" s="680"/>
      <c r="AX239" s="680"/>
      <c r="AY239" s="680"/>
      <c r="AZ239" s="680"/>
      <c r="BA239" s="680"/>
      <c r="BB239" s="680"/>
      <c r="BC239" s="680"/>
      <c r="BD239" s="680"/>
      <c r="BE239" s="680"/>
      <c r="BF239" s="680"/>
      <c r="BG239" s="680"/>
      <c r="BH239" s="680"/>
      <c r="BI239" s="680"/>
      <c r="BJ239" s="680"/>
      <c r="BK239" s="680"/>
      <c r="BL239" s="680"/>
      <c r="BM239" s="680"/>
      <c r="BN239" s="680"/>
      <c r="BO239" s="680"/>
      <c r="BP239" s="680"/>
      <c r="BQ239" s="680"/>
      <c r="BR239" s="680"/>
    </row>
    <row r="240" spans="2:70" ht="15" customHeight="1">
      <c r="C240" s="339">
        <v>6</v>
      </c>
      <c r="F240" s="678">
        <v>6</v>
      </c>
      <c r="G240" s="678"/>
      <c r="H240" s="680" t="s">
        <v>2952</v>
      </c>
      <c r="I240" s="680"/>
      <c r="J240" s="680"/>
      <c r="K240" s="680"/>
      <c r="L240" s="680"/>
      <c r="M240" s="680"/>
      <c r="N240" s="680"/>
      <c r="O240" s="680"/>
      <c r="P240" s="680"/>
      <c r="Q240" s="680"/>
      <c r="R240" s="680"/>
      <c r="S240" s="680"/>
      <c r="T240" s="680"/>
      <c r="U240" s="680"/>
      <c r="V240" s="680"/>
      <c r="W240" s="680"/>
      <c r="X240" s="680"/>
      <c r="Y240" s="680"/>
      <c r="Z240" s="680"/>
      <c r="AA240" s="680"/>
      <c r="AB240" s="680"/>
      <c r="AC240" s="680"/>
      <c r="AD240" s="680"/>
      <c r="AE240" s="680"/>
      <c r="AF240" s="680"/>
      <c r="AG240" s="680"/>
      <c r="AH240" s="680"/>
      <c r="AI240" s="680"/>
      <c r="AJ240" s="680"/>
      <c r="AK240" s="680"/>
      <c r="AL240" s="680"/>
      <c r="AM240" s="680"/>
      <c r="AN240" s="680"/>
      <c r="AO240" s="680"/>
      <c r="AP240" s="680"/>
      <c r="AQ240" s="680"/>
      <c r="AR240" s="680"/>
      <c r="AS240" s="680"/>
      <c r="AT240" s="680"/>
      <c r="AU240" s="680"/>
      <c r="AV240" s="680"/>
      <c r="AW240" s="680"/>
      <c r="AX240" s="680"/>
      <c r="AY240" s="680"/>
      <c r="AZ240" s="680"/>
      <c r="BA240" s="680"/>
      <c r="BB240" s="680"/>
      <c r="BC240" s="680"/>
      <c r="BD240" s="680"/>
      <c r="BE240" s="680"/>
      <c r="BF240" s="680"/>
      <c r="BG240" s="680"/>
      <c r="BH240" s="680"/>
      <c r="BI240" s="680"/>
      <c r="BJ240" s="680"/>
      <c r="BK240" s="680"/>
      <c r="BL240" s="680"/>
      <c r="BM240" s="680"/>
      <c r="BN240" s="680"/>
      <c r="BO240" s="680"/>
      <c r="BP240" s="680"/>
      <c r="BQ240" s="680"/>
      <c r="BR240" s="680"/>
    </row>
  </sheetData>
  <mergeCells count="284">
    <mergeCell ref="F237:G237"/>
    <mergeCell ref="H237:BR237"/>
    <mergeCell ref="F238:G238"/>
    <mergeCell ref="H238:BR238"/>
    <mergeCell ref="F239:G239"/>
    <mergeCell ref="H239:BR239"/>
    <mergeCell ref="F240:G240"/>
    <mergeCell ref="H240:BR240"/>
    <mergeCell ref="B234:D234"/>
    <mergeCell ref="F234:G234"/>
    <mergeCell ref="H234:BR234"/>
    <mergeCell ref="F235:G235"/>
    <mergeCell ref="H235:BR235"/>
    <mergeCell ref="F236:G236"/>
    <mergeCell ref="H236:BR236"/>
    <mergeCell ref="BM224:BQ228"/>
    <mergeCell ref="B217:D219"/>
    <mergeCell ref="E217:S219"/>
    <mergeCell ref="V219:X220"/>
    <mergeCell ref="Y219:AG220"/>
    <mergeCell ref="Y221:Z222"/>
    <mergeCell ref="AA221:BO222"/>
    <mergeCell ref="AB229:AQ233"/>
    <mergeCell ref="AT229:AY233"/>
    <mergeCell ref="BB229:BC233"/>
    <mergeCell ref="BP221:BQ222"/>
    <mergeCell ref="T224:Y228"/>
    <mergeCell ref="AB224:AE228"/>
    <mergeCell ref="AG224:AM228"/>
    <mergeCell ref="AN224:AQ228"/>
    <mergeCell ref="AT224:AY228"/>
    <mergeCell ref="BB224:BI228"/>
    <mergeCell ref="BD229:BG233"/>
    <mergeCell ref="BH229:BI233"/>
    <mergeCell ref="BJ229:BK233"/>
    <mergeCell ref="BL229:BO233"/>
    <mergeCell ref="B228:D229"/>
    <mergeCell ref="E228:R229"/>
    <mergeCell ref="T229:Y233"/>
    <mergeCell ref="AL205:AS206"/>
    <mergeCell ref="AV205:BP206"/>
    <mergeCell ref="B208:C212"/>
    <mergeCell ref="E208:R212"/>
    <mergeCell ref="AA208:AG212"/>
    <mergeCell ref="AI208:AN212"/>
    <mergeCell ref="V214:X215"/>
    <mergeCell ref="Y214:BC215"/>
    <mergeCell ref="Y216:AA217"/>
    <mergeCell ref="AB216:AF217"/>
    <mergeCell ref="AG216:AJ217"/>
    <mergeCell ref="AK216:AO217"/>
    <mergeCell ref="AP216:AQ217"/>
    <mergeCell ref="T199:U200"/>
    <mergeCell ref="V199:X200"/>
    <mergeCell ref="Y199:AI200"/>
    <mergeCell ref="AL199:AO200"/>
    <mergeCell ref="AP199:BP200"/>
    <mergeCell ref="B200:C202"/>
    <mergeCell ref="E200:R202"/>
    <mergeCell ref="T202:U203"/>
    <mergeCell ref="V202:X203"/>
    <mergeCell ref="Y202:AF203"/>
    <mergeCell ref="AL202:AS203"/>
    <mergeCell ref="AT202:AU203"/>
    <mergeCell ref="AV202:BP203"/>
    <mergeCell ref="AI190:BR191"/>
    <mergeCell ref="AI192:AO193"/>
    <mergeCell ref="AP192:AT193"/>
    <mergeCell ref="AU192:AW193"/>
    <mergeCell ref="AX192:BA193"/>
    <mergeCell ref="BB192:BG193"/>
    <mergeCell ref="BH192:BK193"/>
    <mergeCell ref="B195:C196"/>
    <mergeCell ref="E195:S196"/>
    <mergeCell ref="Z195:AA196"/>
    <mergeCell ref="AB195:AJ196"/>
    <mergeCell ref="AK195:AL196"/>
    <mergeCell ref="AN195:AO196"/>
    <mergeCell ref="AP195:AX196"/>
    <mergeCell ref="B183:C186"/>
    <mergeCell ref="E183:R186"/>
    <mergeCell ref="T183:W186"/>
    <mergeCell ref="X183:Y186"/>
    <mergeCell ref="AA183:AG186"/>
    <mergeCell ref="AH184:AM185"/>
    <mergeCell ref="AN184:BR185"/>
    <mergeCell ref="AI186:BR187"/>
    <mergeCell ref="AI188:BR189"/>
    <mergeCell ref="AI180:AL181"/>
    <mergeCell ref="AM180:AT181"/>
    <mergeCell ref="AU180:AZ181"/>
    <mergeCell ref="BA180:BP181"/>
    <mergeCell ref="BQ180:BQ181"/>
    <mergeCell ref="AZ163:BA168"/>
    <mergeCell ref="BB163:BN168"/>
    <mergeCell ref="BO163:BP168"/>
    <mergeCell ref="B165:C166"/>
    <mergeCell ref="E165:R166"/>
    <mergeCell ref="E155:S157"/>
    <mergeCell ref="U155:BQ157"/>
    <mergeCell ref="U159:AF161"/>
    <mergeCell ref="B170:C172"/>
    <mergeCell ref="E170:R172"/>
    <mergeCell ref="U170:BQ172"/>
    <mergeCell ref="B175:C177"/>
    <mergeCell ref="E175:R177"/>
    <mergeCell ref="U175:BM177"/>
    <mergeCell ref="U163:AN168"/>
    <mergeCell ref="AP163:AY168"/>
    <mergeCell ref="AI133:BN134"/>
    <mergeCell ref="E135:K136"/>
    <mergeCell ref="M135:N136"/>
    <mergeCell ref="AR135:BM136"/>
    <mergeCell ref="AT159:AV161"/>
    <mergeCell ref="AW159:AX161"/>
    <mergeCell ref="U142:BQ144"/>
    <mergeCell ref="B138:C140"/>
    <mergeCell ref="E138:R140"/>
    <mergeCell ref="AG138:AI140"/>
    <mergeCell ref="AP138:AR140"/>
    <mergeCell ref="AY138:BA140"/>
    <mergeCell ref="AG159:AL161"/>
    <mergeCell ref="AM159:AP161"/>
    <mergeCell ref="AQ159:AS161"/>
    <mergeCell ref="BA159:BB161"/>
    <mergeCell ref="B143:C148"/>
    <mergeCell ref="E143:S148"/>
    <mergeCell ref="U146:BQ148"/>
    <mergeCell ref="E151:S153"/>
    <mergeCell ref="U151:BQ153"/>
    <mergeCell ref="B153:C159"/>
    <mergeCell ref="BC159:BN161"/>
    <mergeCell ref="BO159:BP161"/>
    <mergeCell ref="B125:BR128"/>
    <mergeCell ref="S129:AA130"/>
    <mergeCell ref="F130:Q131"/>
    <mergeCell ref="AC130:BQ131"/>
    <mergeCell ref="F115:G115"/>
    <mergeCell ref="H115:BR115"/>
    <mergeCell ref="S131:AA132"/>
    <mergeCell ref="F116:G116"/>
    <mergeCell ref="H116:BR116"/>
    <mergeCell ref="F117:G117"/>
    <mergeCell ref="H117:BR117"/>
    <mergeCell ref="F118:G118"/>
    <mergeCell ref="H118:BR118"/>
    <mergeCell ref="BF122:BH124"/>
    <mergeCell ref="BI122:BK124"/>
    <mergeCell ref="BL122:BN124"/>
    <mergeCell ref="BO122:BQ124"/>
    <mergeCell ref="BC122:BE124"/>
    <mergeCell ref="B112:D112"/>
    <mergeCell ref="F112:G112"/>
    <mergeCell ref="H112:BR112"/>
    <mergeCell ref="B106:D107"/>
    <mergeCell ref="E106:R107"/>
    <mergeCell ref="T107:Y111"/>
    <mergeCell ref="F113:G113"/>
    <mergeCell ref="H113:BR113"/>
    <mergeCell ref="F114:G114"/>
    <mergeCell ref="H114:BR114"/>
    <mergeCell ref="BM102:BQ106"/>
    <mergeCell ref="BP99:BQ100"/>
    <mergeCell ref="T102:Y106"/>
    <mergeCell ref="AB102:AE106"/>
    <mergeCell ref="AG102:AM106"/>
    <mergeCell ref="AN102:AQ106"/>
    <mergeCell ref="AT102:AY106"/>
    <mergeCell ref="BB102:BI106"/>
    <mergeCell ref="BD107:BG111"/>
    <mergeCell ref="BH107:BI111"/>
    <mergeCell ref="BJ107:BK111"/>
    <mergeCell ref="BL107:BO111"/>
    <mergeCell ref="Y99:Z100"/>
    <mergeCell ref="AA99:BO100"/>
    <mergeCell ref="AB107:AQ111"/>
    <mergeCell ref="AT107:AY111"/>
    <mergeCell ref="BB107:BC111"/>
    <mergeCell ref="AV83:BP84"/>
    <mergeCell ref="B86:C90"/>
    <mergeCell ref="E86:R90"/>
    <mergeCell ref="AA86:AG90"/>
    <mergeCell ref="AI86:AN90"/>
    <mergeCell ref="V92:X93"/>
    <mergeCell ref="Y92:BC93"/>
    <mergeCell ref="Y94:AA95"/>
    <mergeCell ref="AB94:AF95"/>
    <mergeCell ref="AG94:AJ95"/>
    <mergeCell ref="AK94:AO95"/>
    <mergeCell ref="AP94:AQ95"/>
    <mergeCell ref="B95:D97"/>
    <mergeCell ref="E95:S97"/>
    <mergeCell ref="V97:X98"/>
    <mergeCell ref="Y97:AG98"/>
    <mergeCell ref="B73:C74"/>
    <mergeCell ref="E73:S74"/>
    <mergeCell ref="Z73:AA74"/>
    <mergeCell ref="AB73:AJ74"/>
    <mergeCell ref="AK73:AL74"/>
    <mergeCell ref="AN73:AO74"/>
    <mergeCell ref="AP73:AX74"/>
    <mergeCell ref="T77:U78"/>
    <mergeCell ref="V77:X78"/>
    <mergeCell ref="Y77:AI78"/>
    <mergeCell ref="AL77:AO78"/>
    <mergeCell ref="AP77:BP78"/>
    <mergeCell ref="B78:C80"/>
    <mergeCell ref="E78:R80"/>
    <mergeCell ref="T80:U81"/>
    <mergeCell ref="V80:X81"/>
    <mergeCell ref="Y80:AF81"/>
    <mergeCell ref="AL80:AS81"/>
    <mergeCell ref="AT80:AU81"/>
    <mergeCell ref="AV80:BP81"/>
    <mergeCell ref="BQ58:BQ59"/>
    <mergeCell ref="U41:AN46"/>
    <mergeCell ref="AP41:AY46"/>
    <mergeCell ref="AZ41:BA46"/>
    <mergeCell ref="BB41:BN46"/>
    <mergeCell ref="BO41:BP46"/>
    <mergeCell ref="B61:C64"/>
    <mergeCell ref="E61:R64"/>
    <mergeCell ref="T61:W64"/>
    <mergeCell ref="X61:Y64"/>
    <mergeCell ref="AA61:AG64"/>
    <mergeCell ref="AH62:AM63"/>
    <mergeCell ref="AN62:BR63"/>
    <mergeCell ref="AI64:BR65"/>
    <mergeCell ref="B43:C44"/>
    <mergeCell ref="E43:R44"/>
    <mergeCell ref="B48:C50"/>
    <mergeCell ref="E48:R50"/>
    <mergeCell ref="U48:BQ50"/>
    <mergeCell ref="B53:C55"/>
    <mergeCell ref="E53:R55"/>
    <mergeCell ref="U53:BM55"/>
    <mergeCell ref="AG37:AL39"/>
    <mergeCell ref="AM37:AP39"/>
    <mergeCell ref="AQ37:AS39"/>
    <mergeCell ref="AW37:AX39"/>
    <mergeCell ref="U33:BQ35"/>
    <mergeCell ref="U37:AF39"/>
    <mergeCell ref="B5:BR12"/>
    <mergeCell ref="B16:C18"/>
    <mergeCell ref="E16:R18"/>
    <mergeCell ref="AG16:AI18"/>
    <mergeCell ref="AP16:AR18"/>
    <mergeCell ref="AY16:BA18"/>
    <mergeCell ref="AT37:AV39"/>
    <mergeCell ref="BA37:BB39"/>
    <mergeCell ref="U20:BQ22"/>
    <mergeCell ref="B21:C26"/>
    <mergeCell ref="E21:S26"/>
    <mergeCell ref="U24:BQ26"/>
    <mergeCell ref="E29:S31"/>
    <mergeCell ref="U29:BQ31"/>
    <mergeCell ref="B31:C37"/>
    <mergeCell ref="BC37:BN39"/>
    <mergeCell ref="E33:S35"/>
    <mergeCell ref="BO37:BP39"/>
    <mergeCell ref="AB138:AF140"/>
    <mergeCell ref="AK138:AO140"/>
    <mergeCell ref="AT138:AX140"/>
    <mergeCell ref="Z16:AF18"/>
    <mergeCell ref="AK16:AO18"/>
    <mergeCell ref="AT16:AX18"/>
    <mergeCell ref="AG122:AI124"/>
    <mergeCell ref="AJ122:AK124"/>
    <mergeCell ref="AV122:AW124"/>
    <mergeCell ref="AL122:AU124"/>
    <mergeCell ref="AX122:BB124"/>
    <mergeCell ref="AI58:AL59"/>
    <mergeCell ref="AM58:AT59"/>
    <mergeCell ref="AU58:AZ59"/>
    <mergeCell ref="BA58:BP59"/>
    <mergeCell ref="AI66:BR67"/>
    <mergeCell ref="AI68:BR69"/>
    <mergeCell ref="AI70:AO71"/>
    <mergeCell ref="AP70:AT71"/>
    <mergeCell ref="AU70:AW71"/>
    <mergeCell ref="AX70:BA71"/>
    <mergeCell ref="BB70:BG71"/>
    <mergeCell ref="BH70:BK71"/>
    <mergeCell ref="AL83:AS84"/>
  </mergeCells>
  <phoneticPr fontId="57"/>
  <dataValidations count="2">
    <dataValidation type="list" allowBlank="1" showInputMessage="1" showErrorMessage="1" sqref="BJ107:BK111 BJ229:BK233 BJ65643:BK65647 BJ65765:BK65769 BJ131179:BK131183 BJ131301:BK131305 BJ196715:BK196719 BJ196837:BK196841 BJ262251:BK262255 BJ262373:BK262377 BJ327787:BK327791 BJ327909:BK327913 BJ393323:BK393327 BJ393445:BK393449 BJ458859:BK458863 BJ458981:BK458985 BJ524395:BK524399 BJ524517:BK524521 BJ589931:BK589935 BJ590053:BK590057 BJ655467:BK655471 BJ655589:BK655593 BJ721003:BK721007 BJ721125:BK721129 BJ786539:BK786543 BJ786661:BK786665 BJ852075:BK852079 BJ852197:BK852201 BJ917611:BK917615 BJ917733:BK917737 BJ983147:BK983151 BJ983269:BK983273 LF107:LG111 LF229:LG233 LF65643:LG65647 LF65765:LG65769 LF131179:LG131183 LF131301:LG131305 LF196715:LG196719 LF196837:LG196841 LF262251:LG262255 LF262373:LG262377 LF327787:LG327791 LF327909:LG327913 LF393323:LG393327 LF393445:LG393449 LF458859:LG458863 LF458981:LG458985 LF524395:LG524399 LF524517:LG524521 LF589931:LG589935 LF590053:LG590057 LF655467:LG655471 LF655589:LG655593 LF721003:LG721007 LF721125:LG721129 LF786539:LG786543 LF786661:LG786665 LF852075:LG852079 LF852197:LG852201 LF917611:LG917615 LF917733:LG917737 LF983147:LG983151 LF983269:LG983273 VB107:VC111 VB229:VC233 VB65643:VC65647 VB65765:VC65769 VB131179:VC131183 VB131301:VC131305 VB196715:VC196719 VB196837:VC196841 VB262251:VC262255 VB262373:VC262377 VB327787:VC327791 VB327909:VC327913 VB393323:VC393327 VB393445:VC393449 VB458859:VC458863 VB458981:VC458985 VB524395:VC524399 VB524517:VC524521 VB589931:VC589935 VB590053:VC590057 VB655467:VC655471 VB655589:VC655593 VB721003:VC721007 VB721125:VC721129 VB786539:VC786543 VB786661:VC786665 VB852075:VC852079 VB852197:VC852201 VB917611:VC917615 VB917733:VC917737 VB983147:VC983151 VB983269:VC983273 AEX107:AEY111 AEX229:AEY233 AEX65643:AEY65647 AEX65765:AEY65769 AEX131179:AEY131183 AEX131301:AEY131305 AEX196715:AEY196719 AEX196837:AEY196841 AEX262251:AEY262255 AEX262373:AEY262377 AEX327787:AEY327791 AEX327909:AEY327913 AEX393323:AEY393327 AEX393445:AEY393449 AEX458859:AEY458863 AEX458981:AEY458985 AEX524395:AEY524399 AEX524517:AEY524521 AEX589931:AEY589935 AEX590053:AEY590057 AEX655467:AEY655471 AEX655589:AEY655593 AEX721003:AEY721007 AEX721125:AEY721129 AEX786539:AEY786543 AEX786661:AEY786665 AEX852075:AEY852079 AEX852197:AEY852201 AEX917611:AEY917615 AEX917733:AEY917737 AEX983147:AEY983151 AEX983269:AEY983273 AOT107:AOU111 AOT229:AOU233 AOT65643:AOU65647 AOT65765:AOU65769 AOT131179:AOU131183 AOT131301:AOU131305 AOT196715:AOU196719 AOT196837:AOU196841 AOT262251:AOU262255 AOT262373:AOU262377 AOT327787:AOU327791 AOT327909:AOU327913 AOT393323:AOU393327 AOT393445:AOU393449 AOT458859:AOU458863 AOT458981:AOU458985 AOT524395:AOU524399 AOT524517:AOU524521 AOT589931:AOU589935 AOT590053:AOU590057 AOT655467:AOU655471 AOT655589:AOU655593 AOT721003:AOU721007 AOT721125:AOU721129 AOT786539:AOU786543 AOT786661:AOU786665 AOT852075:AOU852079 AOT852197:AOU852201 AOT917611:AOU917615 AOT917733:AOU917737 AOT983147:AOU983151 AOT983269:AOU983273 AYP107:AYQ111 AYP229:AYQ233 AYP65643:AYQ65647 AYP65765:AYQ65769 AYP131179:AYQ131183 AYP131301:AYQ131305 AYP196715:AYQ196719 AYP196837:AYQ196841 AYP262251:AYQ262255 AYP262373:AYQ262377 AYP327787:AYQ327791 AYP327909:AYQ327913 AYP393323:AYQ393327 AYP393445:AYQ393449 AYP458859:AYQ458863 AYP458981:AYQ458985 AYP524395:AYQ524399 AYP524517:AYQ524521 AYP589931:AYQ589935 AYP590053:AYQ590057 AYP655467:AYQ655471 AYP655589:AYQ655593 AYP721003:AYQ721007 AYP721125:AYQ721129 AYP786539:AYQ786543 AYP786661:AYQ786665 AYP852075:AYQ852079 AYP852197:AYQ852201 AYP917611:AYQ917615 AYP917733:AYQ917737 AYP983147:AYQ983151 AYP983269:AYQ983273 BIL107:BIM111 BIL229:BIM233 BIL65643:BIM65647 BIL65765:BIM65769 BIL131179:BIM131183 BIL131301:BIM131305 BIL196715:BIM196719 BIL196837:BIM196841 BIL262251:BIM262255 BIL262373:BIM262377 BIL327787:BIM327791 BIL327909:BIM327913 BIL393323:BIM393327 BIL393445:BIM393449 BIL458859:BIM458863 BIL458981:BIM458985 BIL524395:BIM524399 BIL524517:BIM524521 BIL589931:BIM589935 BIL590053:BIM590057 BIL655467:BIM655471 BIL655589:BIM655593 BIL721003:BIM721007 BIL721125:BIM721129 BIL786539:BIM786543 BIL786661:BIM786665 BIL852075:BIM852079 BIL852197:BIM852201 BIL917611:BIM917615 BIL917733:BIM917737 BIL983147:BIM983151 BIL983269:BIM983273 BSH107:BSI111 BSH229:BSI233 BSH65643:BSI65647 BSH65765:BSI65769 BSH131179:BSI131183 BSH131301:BSI131305 BSH196715:BSI196719 BSH196837:BSI196841 BSH262251:BSI262255 BSH262373:BSI262377 BSH327787:BSI327791 BSH327909:BSI327913 BSH393323:BSI393327 BSH393445:BSI393449 BSH458859:BSI458863 BSH458981:BSI458985 BSH524395:BSI524399 BSH524517:BSI524521 BSH589931:BSI589935 BSH590053:BSI590057 BSH655467:BSI655471 BSH655589:BSI655593 BSH721003:BSI721007 BSH721125:BSI721129 BSH786539:BSI786543 BSH786661:BSI786665 BSH852075:BSI852079 BSH852197:BSI852201 BSH917611:BSI917615 BSH917733:BSI917737 BSH983147:BSI983151 BSH983269:BSI983273 CCD107:CCE111 CCD229:CCE233 CCD65643:CCE65647 CCD65765:CCE65769 CCD131179:CCE131183 CCD131301:CCE131305 CCD196715:CCE196719 CCD196837:CCE196841 CCD262251:CCE262255 CCD262373:CCE262377 CCD327787:CCE327791 CCD327909:CCE327913 CCD393323:CCE393327 CCD393445:CCE393449 CCD458859:CCE458863 CCD458981:CCE458985 CCD524395:CCE524399 CCD524517:CCE524521 CCD589931:CCE589935 CCD590053:CCE590057 CCD655467:CCE655471 CCD655589:CCE655593 CCD721003:CCE721007 CCD721125:CCE721129 CCD786539:CCE786543 CCD786661:CCE786665 CCD852075:CCE852079 CCD852197:CCE852201 CCD917611:CCE917615 CCD917733:CCE917737 CCD983147:CCE983151 CCD983269:CCE983273 CLZ107:CMA111 CLZ229:CMA233 CLZ65643:CMA65647 CLZ65765:CMA65769 CLZ131179:CMA131183 CLZ131301:CMA131305 CLZ196715:CMA196719 CLZ196837:CMA196841 CLZ262251:CMA262255 CLZ262373:CMA262377 CLZ327787:CMA327791 CLZ327909:CMA327913 CLZ393323:CMA393327 CLZ393445:CMA393449 CLZ458859:CMA458863 CLZ458981:CMA458985 CLZ524395:CMA524399 CLZ524517:CMA524521 CLZ589931:CMA589935 CLZ590053:CMA590057 CLZ655467:CMA655471 CLZ655589:CMA655593 CLZ721003:CMA721007 CLZ721125:CMA721129 CLZ786539:CMA786543 CLZ786661:CMA786665 CLZ852075:CMA852079 CLZ852197:CMA852201 CLZ917611:CMA917615 CLZ917733:CMA917737 CLZ983147:CMA983151 CLZ983269:CMA983273 CVV107:CVW111 CVV229:CVW233 CVV65643:CVW65647 CVV65765:CVW65769 CVV131179:CVW131183 CVV131301:CVW131305 CVV196715:CVW196719 CVV196837:CVW196841 CVV262251:CVW262255 CVV262373:CVW262377 CVV327787:CVW327791 CVV327909:CVW327913 CVV393323:CVW393327 CVV393445:CVW393449 CVV458859:CVW458863 CVV458981:CVW458985 CVV524395:CVW524399 CVV524517:CVW524521 CVV589931:CVW589935 CVV590053:CVW590057 CVV655467:CVW655471 CVV655589:CVW655593 CVV721003:CVW721007 CVV721125:CVW721129 CVV786539:CVW786543 CVV786661:CVW786665 CVV852075:CVW852079 CVV852197:CVW852201 CVV917611:CVW917615 CVV917733:CVW917737 CVV983147:CVW983151 CVV983269:CVW983273 DFR107:DFS111 DFR229:DFS233 DFR65643:DFS65647 DFR65765:DFS65769 DFR131179:DFS131183 DFR131301:DFS131305 DFR196715:DFS196719 DFR196837:DFS196841 DFR262251:DFS262255 DFR262373:DFS262377 DFR327787:DFS327791 DFR327909:DFS327913 DFR393323:DFS393327 DFR393445:DFS393449 DFR458859:DFS458863 DFR458981:DFS458985 DFR524395:DFS524399 DFR524517:DFS524521 DFR589931:DFS589935 DFR590053:DFS590057 DFR655467:DFS655471 DFR655589:DFS655593 DFR721003:DFS721007 DFR721125:DFS721129 DFR786539:DFS786543 DFR786661:DFS786665 DFR852075:DFS852079 DFR852197:DFS852201 DFR917611:DFS917615 DFR917733:DFS917737 DFR983147:DFS983151 DFR983269:DFS983273 DPN107:DPO111 DPN229:DPO233 DPN65643:DPO65647 DPN65765:DPO65769 DPN131179:DPO131183 DPN131301:DPO131305 DPN196715:DPO196719 DPN196837:DPO196841 DPN262251:DPO262255 DPN262373:DPO262377 DPN327787:DPO327791 DPN327909:DPO327913 DPN393323:DPO393327 DPN393445:DPO393449 DPN458859:DPO458863 DPN458981:DPO458985 DPN524395:DPO524399 DPN524517:DPO524521 DPN589931:DPO589935 DPN590053:DPO590057 DPN655467:DPO655471 DPN655589:DPO655593 DPN721003:DPO721007 DPN721125:DPO721129 DPN786539:DPO786543 DPN786661:DPO786665 DPN852075:DPO852079 DPN852197:DPO852201 DPN917611:DPO917615 DPN917733:DPO917737 DPN983147:DPO983151 DPN983269:DPO983273 DZJ107:DZK111 DZJ229:DZK233 DZJ65643:DZK65647 DZJ65765:DZK65769 DZJ131179:DZK131183 DZJ131301:DZK131305 DZJ196715:DZK196719 DZJ196837:DZK196841 DZJ262251:DZK262255 DZJ262373:DZK262377 DZJ327787:DZK327791 DZJ327909:DZK327913 DZJ393323:DZK393327 DZJ393445:DZK393449 DZJ458859:DZK458863 DZJ458981:DZK458985 DZJ524395:DZK524399 DZJ524517:DZK524521 DZJ589931:DZK589935 DZJ590053:DZK590057 DZJ655467:DZK655471 DZJ655589:DZK655593 DZJ721003:DZK721007 DZJ721125:DZK721129 DZJ786539:DZK786543 DZJ786661:DZK786665 DZJ852075:DZK852079 DZJ852197:DZK852201 DZJ917611:DZK917615 DZJ917733:DZK917737 DZJ983147:DZK983151 DZJ983269:DZK983273 EJF107:EJG111 EJF229:EJG233 EJF65643:EJG65647 EJF65765:EJG65769 EJF131179:EJG131183 EJF131301:EJG131305 EJF196715:EJG196719 EJF196837:EJG196841 EJF262251:EJG262255 EJF262373:EJG262377 EJF327787:EJG327791 EJF327909:EJG327913 EJF393323:EJG393327 EJF393445:EJG393449 EJF458859:EJG458863 EJF458981:EJG458985 EJF524395:EJG524399 EJF524517:EJG524521 EJF589931:EJG589935 EJF590053:EJG590057 EJF655467:EJG655471 EJF655589:EJG655593 EJF721003:EJG721007 EJF721125:EJG721129 EJF786539:EJG786543 EJF786661:EJG786665 EJF852075:EJG852079 EJF852197:EJG852201 EJF917611:EJG917615 EJF917733:EJG917737 EJF983147:EJG983151 EJF983269:EJG983273 ETB107:ETC111 ETB229:ETC233 ETB65643:ETC65647 ETB65765:ETC65769 ETB131179:ETC131183 ETB131301:ETC131305 ETB196715:ETC196719 ETB196837:ETC196841 ETB262251:ETC262255 ETB262373:ETC262377 ETB327787:ETC327791 ETB327909:ETC327913 ETB393323:ETC393327 ETB393445:ETC393449 ETB458859:ETC458863 ETB458981:ETC458985 ETB524395:ETC524399 ETB524517:ETC524521 ETB589931:ETC589935 ETB590053:ETC590057 ETB655467:ETC655471 ETB655589:ETC655593 ETB721003:ETC721007 ETB721125:ETC721129 ETB786539:ETC786543 ETB786661:ETC786665 ETB852075:ETC852079 ETB852197:ETC852201 ETB917611:ETC917615 ETB917733:ETC917737 ETB983147:ETC983151 ETB983269:ETC983273 FCX107:FCY111 FCX229:FCY233 FCX65643:FCY65647 FCX65765:FCY65769 FCX131179:FCY131183 FCX131301:FCY131305 FCX196715:FCY196719 FCX196837:FCY196841 FCX262251:FCY262255 FCX262373:FCY262377 FCX327787:FCY327791 FCX327909:FCY327913 FCX393323:FCY393327 FCX393445:FCY393449 FCX458859:FCY458863 FCX458981:FCY458985 FCX524395:FCY524399 FCX524517:FCY524521 FCX589931:FCY589935 FCX590053:FCY590057 FCX655467:FCY655471 FCX655589:FCY655593 FCX721003:FCY721007 FCX721125:FCY721129 FCX786539:FCY786543 FCX786661:FCY786665 FCX852075:FCY852079 FCX852197:FCY852201 FCX917611:FCY917615 FCX917733:FCY917737 FCX983147:FCY983151 FCX983269:FCY983273 FMT107:FMU111 FMT229:FMU233 FMT65643:FMU65647 FMT65765:FMU65769 FMT131179:FMU131183 FMT131301:FMU131305 FMT196715:FMU196719 FMT196837:FMU196841 FMT262251:FMU262255 FMT262373:FMU262377 FMT327787:FMU327791 FMT327909:FMU327913 FMT393323:FMU393327 FMT393445:FMU393449 FMT458859:FMU458863 FMT458981:FMU458985 FMT524395:FMU524399 FMT524517:FMU524521 FMT589931:FMU589935 FMT590053:FMU590057 FMT655467:FMU655471 FMT655589:FMU655593 FMT721003:FMU721007 FMT721125:FMU721129 FMT786539:FMU786543 FMT786661:FMU786665 FMT852075:FMU852079 FMT852197:FMU852201 FMT917611:FMU917615 FMT917733:FMU917737 FMT983147:FMU983151 FMT983269:FMU983273 FWP107:FWQ111 FWP229:FWQ233 FWP65643:FWQ65647 FWP65765:FWQ65769 FWP131179:FWQ131183 FWP131301:FWQ131305 FWP196715:FWQ196719 FWP196837:FWQ196841 FWP262251:FWQ262255 FWP262373:FWQ262377 FWP327787:FWQ327791 FWP327909:FWQ327913 FWP393323:FWQ393327 FWP393445:FWQ393449 FWP458859:FWQ458863 FWP458981:FWQ458985 FWP524395:FWQ524399 FWP524517:FWQ524521 FWP589931:FWQ589935 FWP590053:FWQ590057 FWP655467:FWQ655471 FWP655589:FWQ655593 FWP721003:FWQ721007 FWP721125:FWQ721129 FWP786539:FWQ786543 FWP786661:FWQ786665 FWP852075:FWQ852079 FWP852197:FWQ852201 FWP917611:FWQ917615 FWP917733:FWQ917737 FWP983147:FWQ983151 FWP983269:FWQ983273 GGL107:GGM111 GGL229:GGM233 GGL65643:GGM65647 GGL65765:GGM65769 GGL131179:GGM131183 GGL131301:GGM131305 GGL196715:GGM196719 GGL196837:GGM196841 GGL262251:GGM262255 GGL262373:GGM262377 GGL327787:GGM327791 GGL327909:GGM327913 GGL393323:GGM393327 GGL393445:GGM393449 GGL458859:GGM458863 GGL458981:GGM458985 GGL524395:GGM524399 GGL524517:GGM524521 GGL589931:GGM589935 GGL590053:GGM590057 GGL655467:GGM655471 GGL655589:GGM655593 GGL721003:GGM721007 GGL721125:GGM721129 GGL786539:GGM786543 GGL786661:GGM786665 GGL852075:GGM852079 GGL852197:GGM852201 GGL917611:GGM917615 GGL917733:GGM917737 GGL983147:GGM983151 GGL983269:GGM983273 GQH107:GQI111 GQH229:GQI233 GQH65643:GQI65647 GQH65765:GQI65769 GQH131179:GQI131183 GQH131301:GQI131305 GQH196715:GQI196719 GQH196837:GQI196841 GQH262251:GQI262255 GQH262373:GQI262377 GQH327787:GQI327791 GQH327909:GQI327913 GQH393323:GQI393327 GQH393445:GQI393449 GQH458859:GQI458863 GQH458981:GQI458985 GQH524395:GQI524399 GQH524517:GQI524521 GQH589931:GQI589935 GQH590053:GQI590057 GQH655467:GQI655471 GQH655589:GQI655593 GQH721003:GQI721007 GQH721125:GQI721129 GQH786539:GQI786543 GQH786661:GQI786665 GQH852075:GQI852079 GQH852197:GQI852201 GQH917611:GQI917615 GQH917733:GQI917737 GQH983147:GQI983151 GQH983269:GQI983273 HAD107:HAE111 HAD229:HAE233 HAD65643:HAE65647 HAD65765:HAE65769 HAD131179:HAE131183 HAD131301:HAE131305 HAD196715:HAE196719 HAD196837:HAE196841 HAD262251:HAE262255 HAD262373:HAE262377 HAD327787:HAE327791 HAD327909:HAE327913 HAD393323:HAE393327 HAD393445:HAE393449 HAD458859:HAE458863 HAD458981:HAE458985 HAD524395:HAE524399 HAD524517:HAE524521 HAD589931:HAE589935 HAD590053:HAE590057 HAD655467:HAE655471 HAD655589:HAE655593 HAD721003:HAE721007 HAD721125:HAE721129 HAD786539:HAE786543 HAD786661:HAE786665 HAD852075:HAE852079 HAD852197:HAE852201 HAD917611:HAE917615 HAD917733:HAE917737 HAD983147:HAE983151 HAD983269:HAE983273 HJZ107:HKA111 HJZ229:HKA233 HJZ65643:HKA65647 HJZ65765:HKA65769 HJZ131179:HKA131183 HJZ131301:HKA131305 HJZ196715:HKA196719 HJZ196837:HKA196841 HJZ262251:HKA262255 HJZ262373:HKA262377 HJZ327787:HKA327791 HJZ327909:HKA327913 HJZ393323:HKA393327 HJZ393445:HKA393449 HJZ458859:HKA458863 HJZ458981:HKA458985 HJZ524395:HKA524399 HJZ524517:HKA524521 HJZ589931:HKA589935 HJZ590053:HKA590057 HJZ655467:HKA655471 HJZ655589:HKA655593 HJZ721003:HKA721007 HJZ721125:HKA721129 HJZ786539:HKA786543 HJZ786661:HKA786665 HJZ852075:HKA852079 HJZ852197:HKA852201 HJZ917611:HKA917615 HJZ917733:HKA917737 HJZ983147:HKA983151 HJZ983269:HKA983273 HTV107:HTW111 HTV229:HTW233 HTV65643:HTW65647 HTV65765:HTW65769 HTV131179:HTW131183 HTV131301:HTW131305 HTV196715:HTW196719 HTV196837:HTW196841 HTV262251:HTW262255 HTV262373:HTW262377 HTV327787:HTW327791 HTV327909:HTW327913 HTV393323:HTW393327 HTV393445:HTW393449 HTV458859:HTW458863 HTV458981:HTW458985 HTV524395:HTW524399 HTV524517:HTW524521 HTV589931:HTW589935 HTV590053:HTW590057 HTV655467:HTW655471 HTV655589:HTW655593 HTV721003:HTW721007 HTV721125:HTW721129 HTV786539:HTW786543 HTV786661:HTW786665 HTV852075:HTW852079 HTV852197:HTW852201 HTV917611:HTW917615 HTV917733:HTW917737 HTV983147:HTW983151 HTV983269:HTW983273 IDR107:IDS111 IDR229:IDS233 IDR65643:IDS65647 IDR65765:IDS65769 IDR131179:IDS131183 IDR131301:IDS131305 IDR196715:IDS196719 IDR196837:IDS196841 IDR262251:IDS262255 IDR262373:IDS262377 IDR327787:IDS327791 IDR327909:IDS327913 IDR393323:IDS393327 IDR393445:IDS393449 IDR458859:IDS458863 IDR458981:IDS458985 IDR524395:IDS524399 IDR524517:IDS524521 IDR589931:IDS589935 IDR590053:IDS590057 IDR655467:IDS655471 IDR655589:IDS655593 IDR721003:IDS721007 IDR721125:IDS721129 IDR786539:IDS786543 IDR786661:IDS786665 IDR852075:IDS852079 IDR852197:IDS852201 IDR917611:IDS917615 IDR917733:IDS917737 IDR983147:IDS983151 IDR983269:IDS983273 INN107:INO111 INN229:INO233 INN65643:INO65647 INN65765:INO65769 INN131179:INO131183 INN131301:INO131305 INN196715:INO196719 INN196837:INO196841 INN262251:INO262255 INN262373:INO262377 INN327787:INO327791 INN327909:INO327913 INN393323:INO393327 INN393445:INO393449 INN458859:INO458863 INN458981:INO458985 INN524395:INO524399 INN524517:INO524521 INN589931:INO589935 INN590053:INO590057 INN655467:INO655471 INN655589:INO655593 INN721003:INO721007 INN721125:INO721129 INN786539:INO786543 INN786661:INO786665 INN852075:INO852079 INN852197:INO852201 INN917611:INO917615 INN917733:INO917737 INN983147:INO983151 INN983269:INO983273 IXJ107:IXK111 IXJ229:IXK233 IXJ65643:IXK65647 IXJ65765:IXK65769 IXJ131179:IXK131183 IXJ131301:IXK131305 IXJ196715:IXK196719 IXJ196837:IXK196841 IXJ262251:IXK262255 IXJ262373:IXK262377 IXJ327787:IXK327791 IXJ327909:IXK327913 IXJ393323:IXK393327 IXJ393445:IXK393449 IXJ458859:IXK458863 IXJ458981:IXK458985 IXJ524395:IXK524399 IXJ524517:IXK524521 IXJ589931:IXK589935 IXJ590053:IXK590057 IXJ655467:IXK655471 IXJ655589:IXK655593 IXJ721003:IXK721007 IXJ721125:IXK721129 IXJ786539:IXK786543 IXJ786661:IXK786665 IXJ852075:IXK852079 IXJ852197:IXK852201 IXJ917611:IXK917615 IXJ917733:IXK917737 IXJ983147:IXK983151 IXJ983269:IXK983273 JHF107:JHG111 JHF229:JHG233 JHF65643:JHG65647 JHF65765:JHG65769 JHF131179:JHG131183 JHF131301:JHG131305 JHF196715:JHG196719 JHF196837:JHG196841 JHF262251:JHG262255 JHF262373:JHG262377 JHF327787:JHG327791 JHF327909:JHG327913 JHF393323:JHG393327 JHF393445:JHG393449 JHF458859:JHG458863 JHF458981:JHG458985 JHF524395:JHG524399 JHF524517:JHG524521 JHF589931:JHG589935 JHF590053:JHG590057 JHF655467:JHG655471 JHF655589:JHG655593 JHF721003:JHG721007 JHF721125:JHG721129 JHF786539:JHG786543 JHF786661:JHG786665 JHF852075:JHG852079 JHF852197:JHG852201 JHF917611:JHG917615 JHF917733:JHG917737 JHF983147:JHG983151 JHF983269:JHG983273 JRB107:JRC111 JRB229:JRC233 JRB65643:JRC65647 JRB65765:JRC65769 JRB131179:JRC131183 JRB131301:JRC131305 JRB196715:JRC196719 JRB196837:JRC196841 JRB262251:JRC262255 JRB262373:JRC262377 JRB327787:JRC327791 JRB327909:JRC327913 JRB393323:JRC393327 JRB393445:JRC393449 JRB458859:JRC458863 JRB458981:JRC458985 JRB524395:JRC524399 JRB524517:JRC524521 JRB589931:JRC589935 JRB590053:JRC590057 JRB655467:JRC655471 JRB655589:JRC655593 JRB721003:JRC721007 JRB721125:JRC721129 JRB786539:JRC786543 JRB786661:JRC786665 JRB852075:JRC852079 JRB852197:JRC852201 JRB917611:JRC917615 JRB917733:JRC917737 JRB983147:JRC983151 JRB983269:JRC983273 KAX107:KAY111 KAX229:KAY233 KAX65643:KAY65647 KAX65765:KAY65769 KAX131179:KAY131183 KAX131301:KAY131305 KAX196715:KAY196719 KAX196837:KAY196841 KAX262251:KAY262255 KAX262373:KAY262377 KAX327787:KAY327791 KAX327909:KAY327913 KAX393323:KAY393327 KAX393445:KAY393449 KAX458859:KAY458863 KAX458981:KAY458985 KAX524395:KAY524399 KAX524517:KAY524521 KAX589931:KAY589935 KAX590053:KAY590057 KAX655467:KAY655471 KAX655589:KAY655593 KAX721003:KAY721007 KAX721125:KAY721129 KAX786539:KAY786543 KAX786661:KAY786665 KAX852075:KAY852079 KAX852197:KAY852201 KAX917611:KAY917615 KAX917733:KAY917737 KAX983147:KAY983151 KAX983269:KAY983273 KKT107:KKU111 KKT229:KKU233 KKT65643:KKU65647 KKT65765:KKU65769 KKT131179:KKU131183 KKT131301:KKU131305 KKT196715:KKU196719 KKT196837:KKU196841 KKT262251:KKU262255 KKT262373:KKU262377 KKT327787:KKU327791 KKT327909:KKU327913 KKT393323:KKU393327 KKT393445:KKU393449 KKT458859:KKU458863 KKT458981:KKU458985 KKT524395:KKU524399 KKT524517:KKU524521 KKT589931:KKU589935 KKT590053:KKU590057 KKT655467:KKU655471 KKT655589:KKU655593 KKT721003:KKU721007 KKT721125:KKU721129 KKT786539:KKU786543 KKT786661:KKU786665 KKT852075:KKU852079 KKT852197:KKU852201 KKT917611:KKU917615 KKT917733:KKU917737 KKT983147:KKU983151 KKT983269:KKU983273 KUP107:KUQ111 KUP229:KUQ233 KUP65643:KUQ65647 KUP65765:KUQ65769 KUP131179:KUQ131183 KUP131301:KUQ131305 KUP196715:KUQ196719 KUP196837:KUQ196841 KUP262251:KUQ262255 KUP262373:KUQ262377 KUP327787:KUQ327791 KUP327909:KUQ327913 KUP393323:KUQ393327 KUP393445:KUQ393449 KUP458859:KUQ458863 KUP458981:KUQ458985 KUP524395:KUQ524399 KUP524517:KUQ524521 KUP589931:KUQ589935 KUP590053:KUQ590057 KUP655467:KUQ655471 KUP655589:KUQ655593 KUP721003:KUQ721007 KUP721125:KUQ721129 KUP786539:KUQ786543 KUP786661:KUQ786665 KUP852075:KUQ852079 KUP852197:KUQ852201 KUP917611:KUQ917615 KUP917733:KUQ917737 KUP983147:KUQ983151 KUP983269:KUQ983273 LEL107:LEM111 LEL229:LEM233 LEL65643:LEM65647 LEL65765:LEM65769 LEL131179:LEM131183 LEL131301:LEM131305 LEL196715:LEM196719 LEL196837:LEM196841 LEL262251:LEM262255 LEL262373:LEM262377 LEL327787:LEM327791 LEL327909:LEM327913 LEL393323:LEM393327 LEL393445:LEM393449 LEL458859:LEM458863 LEL458981:LEM458985 LEL524395:LEM524399 LEL524517:LEM524521 LEL589931:LEM589935 LEL590053:LEM590057 LEL655467:LEM655471 LEL655589:LEM655593 LEL721003:LEM721007 LEL721125:LEM721129 LEL786539:LEM786543 LEL786661:LEM786665 LEL852075:LEM852079 LEL852197:LEM852201 LEL917611:LEM917615 LEL917733:LEM917737 LEL983147:LEM983151 LEL983269:LEM983273 LOH107:LOI111 LOH229:LOI233 LOH65643:LOI65647 LOH65765:LOI65769 LOH131179:LOI131183 LOH131301:LOI131305 LOH196715:LOI196719 LOH196837:LOI196841 LOH262251:LOI262255 LOH262373:LOI262377 LOH327787:LOI327791 LOH327909:LOI327913 LOH393323:LOI393327 LOH393445:LOI393449 LOH458859:LOI458863 LOH458981:LOI458985 LOH524395:LOI524399 LOH524517:LOI524521 LOH589931:LOI589935 LOH590053:LOI590057 LOH655467:LOI655471 LOH655589:LOI655593 LOH721003:LOI721007 LOH721125:LOI721129 LOH786539:LOI786543 LOH786661:LOI786665 LOH852075:LOI852079 LOH852197:LOI852201 LOH917611:LOI917615 LOH917733:LOI917737 LOH983147:LOI983151 LOH983269:LOI983273 LYD107:LYE111 LYD229:LYE233 LYD65643:LYE65647 LYD65765:LYE65769 LYD131179:LYE131183 LYD131301:LYE131305 LYD196715:LYE196719 LYD196837:LYE196841 LYD262251:LYE262255 LYD262373:LYE262377 LYD327787:LYE327791 LYD327909:LYE327913 LYD393323:LYE393327 LYD393445:LYE393449 LYD458859:LYE458863 LYD458981:LYE458985 LYD524395:LYE524399 LYD524517:LYE524521 LYD589931:LYE589935 LYD590053:LYE590057 LYD655467:LYE655471 LYD655589:LYE655593 LYD721003:LYE721007 LYD721125:LYE721129 LYD786539:LYE786543 LYD786661:LYE786665 LYD852075:LYE852079 LYD852197:LYE852201 LYD917611:LYE917615 LYD917733:LYE917737 LYD983147:LYE983151 LYD983269:LYE983273 MHZ107:MIA111 MHZ229:MIA233 MHZ65643:MIA65647 MHZ65765:MIA65769 MHZ131179:MIA131183 MHZ131301:MIA131305 MHZ196715:MIA196719 MHZ196837:MIA196841 MHZ262251:MIA262255 MHZ262373:MIA262377 MHZ327787:MIA327791 MHZ327909:MIA327913 MHZ393323:MIA393327 MHZ393445:MIA393449 MHZ458859:MIA458863 MHZ458981:MIA458985 MHZ524395:MIA524399 MHZ524517:MIA524521 MHZ589931:MIA589935 MHZ590053:MIA590057 MHZ655467:MIA655471 MHZ655589:MIA655593 MHZ721003:MIA721007 MHZ721125:MIA721129 MHZ786539:MIA786543 MHZ786661:MIA786665 MHZ852075:MIA852079 MHZ852197:MIA852201 MHZ917611:MIA917615 MHZ917733:MIA917737 MHZ983147:MIA983151 MHZ983269:MIA983273 MRV107:MRW111 MRV229:MRW233 MRV65643:MRW65647 MRV65765:MRW65769 MRV131179:MRW131183 MRV131301:MRW131305 MRV196715:MRW196719 MRV196837:MRW196841 MRV262251:MRW262255 MRV262373:MRW262377 MRV327787:MRW327791 MRV327909:MRW327913 MRV393323:MRW393327 MRV393445:MRW393449 MRV458859:MRW458863 MRV458981:MRW458985 MRV524395:MRW524399 MRV524517:MRW524521 MRV589931:MRW589935 MRV590053:MRW590057 MRV655467:MRW655471 MRV655589:MRW655593 MRV721003:MRW721007 MRV721125:MRW721129 MRV786539:MRW786543 MRV786661:MRW786665 MRV852075:MRW852079 MRV852197:MRW852201 MRV917611:MRW917615 MRV917733:MRW917737 MRV983147:MRW983151 MRV983269:MRW983273 NBR107:NBS111 NBR229:NBS233 NBR65643:NBS65647 NBR65765:NBS65769 NBR131179:NBS131183 NBR131301:NBS131305 NBR196715:NBS196719 NBR196837:NBS196841 NBR262251:NBS262255 NBR262373:NBS262377 NBR327787:NBS327791 NBR327909:NBS327913 NBR393323:NBS393327 NBR393445:NBS393449 NBR458859:NBS458863 NBR458981:NBS458985 NBR524395:NBS524399 NBR524517:NBS524521 NBR589931:NBS589935 NBR590053:NBS590057 NBR655467:NBS655471 NBR655589:NBS655593 NBR721003:NBS721007 NBR721125:NBS721129 NBR786539:NBS786543 NBR786661:NBS786665 NBR852075:NBS852079 NBR852197:NBS852201 NBR917611:NBS917615 NBR917733:NBS917737 NBR983147:NBS983151 NBR983269:NBS983273 NLN107:NLO111 NLN229:NLO233 NLN65643:NLO65647 NLN65765:NLO65769 NLN131179:NLO131183 NLN131301:NLO131305 NLN196715:NLO196719 NLN196837:NLO196841 NLN262251:NLO262255 NLN262373:NLO262377 NLN327787:NLO327791 NLN327909:NLO327913 NLN393323:NLO393327 NLN393445:NLO393449 NLN458859:NLO458863 NLN458981:NLO458985 NLN524395:NLO524399 NLN524517:NLO524521 NLN589931:NLO589935 NLN590053:NLO590057 NLN655467:NLO655471 NLN655589:NLO655593 NLN721003:NLO721007 NLN721125:NLO721129 NLN786539:NLO786543 NLN786661:NLO786665 NLN852075:NLO852079 NLN852197:NLO852201 NLN917611:NLO917615 NLN917733:NLO917737 NLN983147:NLO983151 NLN983269:NLO983273 NVJ107:NVK111 NVJ229:NVK233 NVJ65643:NVK65647 NVJ65765:NVK65769 NVJ131179:NVK131183 NVJ131301:NVK131305 NVJ196715:NVK196719 NVJ196837:NVK196841 NVJ262251:NVK262255 NVJ262373:NVK262377 NVJ327787:NVK327791 NVJ327909:NVK327913 NVJ393323:NVK393327 NVJ393445:NVK393449 NVJ458859:NVK458863 NVJ458981:NVK458985 NVJ524395:NVK524399 NVJ524517:NVK524521 NVJ589931:NVK589935 NVJ590053:NVK590057 NVJ655467:NVK655471 NVJ655589:NVK655593 NVJ721003:NVK721007 NVJ721125:NVK721129 NVJ786539:NVK786543 NVJ786661:NVK786665 NVJ852075:NVK852079 NVJ852197:NVK852201 NVJ917611:NVK917615 NVJ917733:NVK917737 NVJ983147:NVK983151 NVJ983269:NVK983273 OFF107:OFG111 OFF229:OFG233 OFF65643:OFG65647 OFF65765:OFG65769 OFF131179:OFG131183 OFF131301:OFG131305 OFF196715:OFG196719 OFF196837:OFG196841 OFF262251:OFG262255 OFF262373:OFG262377 OFF327787:OFG327791 OFF327909:OFG327913 OFF393323:OFG393327 OFF393445:OFG393449 OFF458859:OFG458863 OFF458981:OFG458985 OFF524395:OFG524399 OFF524517:OFG524521 OFF589931:OFG589935 OFF590053:OFG590057 OFF655467:OFG655471 OFF655589:OFG655593 OFF721003:OFG721007 OFF721125:OFG721129 OFF786539:OFG786543 OFF786661:OFG786665 OFF852075:OFG852079 OFF852197:OFG852201 OFF917611:OFG917615 OFF917733:OFG917737 OFF983147:OFG983151 OFF983269:OFG983273 OPB107:OPC111 OPB229:OPC233 OPB65643:OPC65647 OPB65765:OPC65769 OPB131179:OPC131183 OPB131301:OPC131305 OPB196715:OPC196719 OPB196837:OPC196841 OPB262251:OPC262255 OPB262373:OPC262377 OPB327787:OPC327791 OPB327909:OPC327913 OPB393323:OPC393327 OPB393445:OPC393449 OPB458859:OPC458863 OPB458981:OPC458985 OPB524395:OPC524399 OPB524517:OPC524521 OPB589931:OPC589935 OPB590053:OPC590057 OPB655467:OPC655471 OPB655589:OPC655593 OPB721003:OPC721007 OPB721125:OPC721129 OPB786539:OPC786543 OPB786661:OPC786665 OPB852075:OPC852079 OPB852197:OPC852201 OPB917611:OPC917615 OPB917733:OPC917737 OPB983147:OPC983151 OPB983269:OPC983273 OYX107:OYY111 OYX229:OYY233 OYX65643:OYY65647 OYX65765:OYY65769 OYX131179:OYY131183 OYX131301:OYY131305 OYX196715:OYY196719 OYX196837:OYY196841 OYX262251:OYY262255 OYX262373:OYY262377 OYX327787:OYY327791 OYX327909:OYY327913 OYX393323:OYY393327 OYX393445:OYY393449 OYX458859:OYY458863 OYX458981:OYY458985 OYX524395:OYY524399 OYX524517:OYY524521 OYX589931:OYY589935 OYX590053:OYY590057 OYX655467:OYY655471 OYX655589:OYY655593 OYX721003:OYY721007 OYX721125:OYY721129 OYX786539:OYY786543 OYX786661:OYY786665 OYX852075:OYY852079 OYX852197:OYY852201 OYX917611:OYY917615 OYX917733:OYY917737 OYX983147:OYY983151 OYX983269:OYY983273 PIT107:PIU111 PIT229:PIU233 PIT65643:PIU65647 PIT65765:PIU65769 PIT131179:PIU131183 PIT131301:PIU131305 PIT196715:PIU196719 PIT196837:PIU196841 PIT262251:PIU262255 PIT262373:PIU262377 PIT327787:PIU327791 PIT327909:PIU327913 PIT393323:PIU393327 PIT393445:PIU393449 PIT458859:PIU458863 PIT458981:PIU458985 PIT524395:PIU524399 PIT524517:PIU524521 PIT589931:PIU589935 PIT590053:PIU590057 PIT655467:PIU655471 PIT655589:PIU655593 PIT721003:PIU721007 PIT721125:PIU721129 PIT786539:PIU786543 PIT786661:PIU786665 PIT852075:PIU852079 PIT852197:PIU852201 PIT917611:PIU917615 PIT917733:PIU917737 PIT983147:PIU983151 PIT983269:PIU983273 PSP107:PSQ111 PSP229:PSQ233 PSP65643:PSQ65647 PSP65765:PSQ65769 PSP131179:PSQ131183 PSP131301:PSQ131305 PSP196715:PSQ196719 PSP196837:PSQ196841 PSP262251:PSQ262255 PSP262373:PSQ262377 PSP327787:PSQ327791 PSP327909:PSQ327913 PSP393323:PSQ393327 PSP393445:PSQ393449 PSP458859:PSQ458863 PSP458981:PSQ458985 PSP524395:PSQ524399 PSP524517:PSQ524521 PSP589931:PSQ589935 PSP590053:PSQ590057 PSP655467:PSQ655471 PSP655589:PSQ655593 PSP721003:PSQ721007 PSP721125:PSQ721129 PSP786539:PSQ786543 PSP786661:PSQ786665 PSP852075:PSQ852079 PSP852197:PSQ852201 PSP917611:PSQ917615 PSP917733:PSQ917737 PSP983147:PSQ983151 PSP983269:PSQ983273 QCL107:QCM111 QCL229:QCM233 QCL65643:QCM65647 QCL65765:QCM65769 QCL131179:QCM131183 QCL131301:QCM131305 QCL196715:QCM196719 QCL196837:QCM196841 QCL262251:QCM262255 QCL262373:QCM262377 QCL327787:QCM327791 QCL327909:QCM327913 QCL393323:QCM393327 QCL393445:QCM393449 QCL458859:QCM458863 QCL458981:QCM458985 QCL524395:QCM524399 QCL524517:QCM524521 QCL589931:QCM589935 QCL590053:QCM590057 QCL655467:QCM655471 QCL655589:QCM655593 QCL721003:QCM721007 QCL721125:QCM721129 QCL786539:QCM786543 QCL786661:QCM786665 QCL852075:QCM852079 QCL852197:QCM852201 QCL917611:QCM917615 QCL917733:QCM917737 QCL983147:QCM983151 QCL983269:QCM983273 QMH107:QMI111 QMH229:QMI233 QMH65643:QMI65647 QMH65765:QMI65769 QMH131179:QMI131183 QMH131301:QMI131305 QMH196715:QMI196719 QMH196837:QMI196841 QMH262251:QMI262255 QMH262373:QMI262377 QMH327787:QMI327791 QMH327909:QMI327913 QMH393323:QMI393327 QMH393445:QMI393449 QMH458859:QMI458863 QMH458981:QMI458985 QMH524395:QMI524399 QMH524517:QMI524521 QMH589931:QMI589935 QMH590053:QMI590057 QMH655467:QMI655471 QMH655589:QMI655593 QMH721003:QMI721007 QMH721125:QMI721129 QMH786539:QMI786543 QMH786661:QMI786665 QMH852075:QMI852079 QMH852197:QMI852201 QMH917611:QMI917615 QMH917733:QMI917737 QMH983147:QMI983151 QMH983269:QMI983273 QWD107:QWE111 QWD229:QWE233 QWD65643:QWE65647 QWD65765:QWE65769 QWD131179:QWE131183 QWD131301:QWE131305 QWD196715:QWE196719 QWD196837:QWE196841 QWD262251:QWE262255 QWD262373:QWE262377 QWD327787:QWE327791 QWD327909:QWE327913 QWD393323:QWE393327 QWD393445:QWE393449 QWD458859:QWE458863 QWD458981:QWE458985 QWD524395:QWE524399 QWD524517:QWE524521 QWD589931:QWE589935 QWD590053:QWE590057 QWD655467:QWE655471 QWD655589:QWE655593 QWD721003:QWE721007 QWD721125:QWE721129 QWD786539:QWE786543 QWD786661:QWE786665 QWD852075:QWE852079 QWD852197:QWE852201 QWD917611:QWE917615 QWD917733:QWE917737 QWD983147:QWE983151 QWD983269:QWE983273 RFZ107:RGA111 RFZ229:RGA233 RFZ65643:RGA65647 RFZ65765:RGA65769 RFZ131179:RGA131183 RFZ131301:RGA131305 RFZ196715:RGA196719 RFZ196837:RGA196841 RFZ262251:RGA262255 RFZ262373:RGA262377 RFZ327787:RGA327791 RFZ327909:RGA327913 RFZ393323:RGA393327 RFZ393445:RGA393449 RFZ458859:RGA458863 RFZ458981:RGA458985 RFZ524395:RGA524399 RFZ524517:RGA524521 RFZ589931:RGA589935 RFZ590053:RGA590057 RFZ655467:RGA655471 RFZ655589:RGA655593 RFZ721003:RGA721007 RFZ721125:RGA721129 RFZ786539:RGA786543 RFZ786661:RGA786665 RFZ852075:RGA852079 RFZ852197:RGA852201 RFZ917611:RGA917615 RFZ917733:RGA917737 RFZ983147:RGA983151 RFZ983269:RGA983273 RPV107:RPW111 RPV229:RPW233 RPV65643:RPW65647 RPV65765:RPW65769 RPV131179:RPW131183 RPV131301:RPW131305 RPV196715:RPW196719 RPV196837:RPW196841 RPV262251:RPW262255 RPV262373:RPW262377 RPV327787:RPW327791 RPV327909:RPW327913 RPV393323:RPW393327 RPV393445:RPW393449 RPV458859:RPW458863 RPV458981:RPW458985 RPV524395:RPW524399 RPV524517:RPW524521 RPV589931:RPW589935 RPV590053:RPW590057 RPV655467:RPW655471 RPV655589:RPW655593 RPV721003:RPW721007 RPV721125:RPW721129 RPV786539:RPW786543 RPV786661:RPW786665 RPV852075:RPW852079 RPV852197:RPW852201 RPV917611:RPW917615 RPV917733:RPW917737 RPV983147:RPW983151 RPV983269:RPW983273 RZR107:RZS111 RZR229:RZS233 RZR65643:RZS65647 RZR65765:RZS65769 RZR131179:RZS131183 RZR131301:RZS131305 RZR196715:RZS196719 RZR196837:RZS196841 RZR262251:RZS262255 RZR262373:RZS262377 RZR327787:RZS327791 RZR327909:RZS327913 RZR393323:RZS393327 RZR393445:RZS393449 RZR458859:RZS458863 RZR458981:RZS458985 RZR524395:RZS524399 RZR524517:RZS524521 RZR589931:RZS589935 RZR590053:RZS590057 RZR655467:RZS655471 RZR655589:RZS655593 RZR721003:RZS721007 RZR721125:RZS721129 RZR786539:RZS786543 RZR786661:RZS786665 RZR852075:RZS852079 RZR852197:RZS852201 RZR917611:RZS917615 RZR917733:RZS917737 RZR983147:RZS983151 RZR983269:RZS983273 SJN107:SJO111 SJN229:SJO233 SJN65643:SJO65647 SJN65765:SJO65769 SJN131179:SJO131183 SJN131301:SJO131305 SJN196715:SJO196719 SJN196837:SJO196841 SJN262251:SJO262255 SJN262373:SJO262377 SJN327787:SJO327791 SJN327909:SJO327913 SJN393323:SJO393327 SJN393445:SJO393449 SJN458859:SJO458863 SJN458981:SJO458985 SJN524395:SJO524399 SJN524517:SJO524521 SJN589931:SJO589935 SJN590053:SJO590057 SJN655467:SJO655471 SJN655589:SJO655593 SJN721003:SJO721007 SJN721125:SJO721129 SJN786539:SJO786543 SJN786661:SJO786665 SJN852075:SJO852079 SJN852197:SJO852201 SJN917611:SJO917615 SJN917733:SJO917737 SJN983147:SJO983151 SJN983269:SJO983273 STJ107:STK111 STJ229:STK233 STJ65643:STK65647 STJ65765:STK65769 STJ131179:STK131183 STJ131301:STK131305 STJ196715:STK196719 STJ196837:STK196841 STJ262251:STK262255 STJ262373:STK262377 STJ327787:STK327791 STJ327909:STK327913 STJ393323:STK393327 STJ393445:STK393449 STJ458859:STK458863 STJ458981:STK458985 STJ524395:STK524399 STJ524517:STK524521 STJ589931:STK589935 STJ590053:STK590057 STJ655467:STK655471 STJ655589:STK655593 STJ721003:STK721007 STJ721125:STK721129 STJ786539:STK786543 STJ786661:STK786665 STJ852075:STK852079 STJ852197:STK852201 STJ917611:STK917615 STJ917733:STK917737 STJ983147:STK983151 STJ983269:STK983273 TDF107:TDG111 TDF229:TDG233 TDF65643:TDG65647 TDF65765:TDG65769 TDF131179:TDG131183 TDF131301:TDG131305 TDF196715:TDG196719 TDF196837:TDG196841 TDF262251:TDG262255 TDF262373:TDG262377 TDF327787:TDG327791 TDF327909:TDG327913 TDF393323:TDG393327 TDF393445:TDG393449 TDF458859:TDG458863 TDF458981:TDG458985 TDF524395:TDG524399 TDF524517:TDG524521 TDF589931:TDG589935 TDF590053:TDG590057 TDF655467:TDG655471 TDF655589:TDG655593 TDF721003:TDG721007 TDF721125:TDG721129 TDF786539:TDG786543 TDF786661:TDG786665 TDF852075:TDG852079 TDF852197:TDG852201 TDF917611:TDG917615 TDF917733:TDG917737 TDF983147:TDG983151 TDF983269:TDG983273 TNB107:TNC111 TNB229:TNC233 TNB65643:TNC65647 TNB65765:TNC65769 TNB131179:TNC131183 TNB131301:TNC131305 TNB196715:TNC196719 TNB196837:TNC196841 TNB262251:TNC262255 TNB262373:TNC262377 TNB327787:TNC327791 TNB327909:TNC327913 TNB393323:TNC393327 TNB393445:TNC393449 TNB458859:TNC458863 TNB458981:TNC458985 TNB524395:TNC524399 TNB524517:TNC524521 TNB589931:TNC589935 TNB590053:TNC590057 TNB655467:TNC655471 TNB655589:TNC655593 TNB721003:TNC721007 TNB721125:TNC721129 TNB786539:TNC786543 TNB786661:TNC786665 TNB852075:TNC852079 TNB852197:TNC852201 TNB917611:TNC917615 TNB917733:TNC917737 TNB983147:TNC983151 TNB983269:TNC983273 TWX107:TWY111 TWX229:TWY233 TWX65643:TWY65647 TWX65765:TWY65769 TWX131179:TWY131183 TWX131301:TWY131305 TWX196715:TWY196719 TWX196837:TWY196841 TWX262251:TWY262255 TWX262373:TWY262377 TWX327787:TWY327791 TWX327909:TWY327913 TWX393323:TWY393327 TWX393445:TWY393449 TWX458859:TWY458863 TWX458981:TWY458985 TWX524395:TWY524399 TWX524517:TWY524521 TWX589931:TWY589935 TWX590053:TWY590057 TWX655467:TWY655471 TWX655589:TWY655593 TWX721003:TWY721007 TWX721125:TWY721129 TWX786539:TWY786543 TWX786661:TWY786665 TWX852075:TWY852079 TWX852197:TWY852201 TWX917611:TWY917615 TWX917733:TWY917737 TWX983147:TWY983151 TWX983269:TWY983273 UGT107:UGU111 UGT229:UGU233 UGT65643:UGU65647 UGT65765:UGU65769 UGT131179:UGU131183 UGT131301:UGU131305 UGT196715:UGU196719 UGT196837:UGU196841 UGT262251:UGU262255 UGT262373:UGU262377 UGT327787:UGU327791 UGT327909:UGU327913 UGT393323:UGU393327 UGT393445:UGU393449 UGT458859:UGU458863 UGT458981:UGU458985 UGT524395:UGU524399 UGT524517:UGU524521 UGT589931:UGU589935 UGT590053:UGU590057 UGT655467:UGU655471 UGT655589:UGU655593 UGT721003:UGU721007 UGT721125:UGU721129 UGT786539:UGU786543 UGT786661:UGU786665 UGT852075:UGU852079 UGT852197:UGU852201 UGT917611:UGU917615 UGT917733:UGU917737 UGT983147:UGU983151 UGT983269:UGU983273 UQP107:UQQ111 UQP229:UQQ233 UQP65643:UQQ65647 UQP65765:UQQ65769 UQP131179:UQQ131183 UQP131301:UQQ131305 UQP196715:UQQ196719 UQP196837:UQQ196841 UQP262251:UQQ262255 UQP262373:UQQ262377 UQP327787:UQQ327791 UQP327909:UQQ327913 UQP393323:UQQ393327 UQP393445:UQQ393449 UQP458859:UQQ458863 UQP458981:UQQ458985 UQP524395:UQQ524399 UQP524517:UQQ524521 UQP589931:UQQ589935 UQP590053:UQQ590057 UQP655467:UQQ655471 UQP655589:UQQ655593 UQP721003:UQQ721007 UQP721125:UQQ721129 UQP786539:UQQ786543 UQP786661:UQQ786665 UQP852075:UQQ852079 UQP852197:UQQ852201 UQP917611:UQQ917615 UQP917733:UQQ917737 UQP983147:UQQ983151 UQP983269:UQQ983273 VAL107:VAM111 VAL229:VAM233 VAL65643:VAM65647 VAL65765:VAM65769 VAL131179:VAM131183 VAL131301:VAM131305 VAL196715:VAM196719 VAL196837:VAM196841 VAL262251:VAM262255 VAL262373:VAM262377 VAL327787:VAM327791 VAL327909:VAM327913 VAL393323:VAM393327 VAL393445:VAM393449 VAL458859:VAM458863 VAL458981:VAM458985 VAL524395:VAM524399 VAL524517:VAM524521 VAL589931:VAM589935 VAL590053:VAM590057 VAL655467:VAM655471 VAL655589:VAM655593 VAL721003:VAM721007 VAL721125:VAM721129 VAL786539:VAM786543 VAL786661:VAM786665 VAL852075:VAM852079 VAL852197:VAM852201 VAL917611:VAM917615 VAL917733:VAM917737 VAL983147:VAM983151 VAL983269:VAM983273 VKH107:VKI111 VKH229:VKI233 VKH65643:VKI65647 VKH65765:VKI65769 VKH131179:VKI131183 VKH131301:VKI131305 VKH196715:VKI196719 VKH196837:VKI196841 VKH262251:VKI262255 VKH262373:VKI262377 VKH327787:VKI327791 VKH327909:VKI327913 VKH393323:VKI393327 VKH393445:VKI393449 VKH458859:VKI458863 VKH458981:VKI458985 VKH524395:VKI524399 VKH524517:VKI524521 VKH589931:VKI589935 VKH590053:VKI590057 VKH655467:VKI655471 VKH655589:VKI655593 VKH721003:VKI721007 VKH721125:VKI721129 VKH786539:VKI786543 VKH786661:VKI786665 VKH852075:VKI852079 VKH852197:VKI852201 VKH917611:VKI917615 VKH917733:VKI917737 VKH983147:VKI983151 VKH983269:VKI983273 VUD107:VUE111 VUD229:VUE233 VUD65643:VUE65647 VUD65765:VUE65769 VUD131179:VUE131183 VUD131301:VUE131305 VUD196715:VUE196719 VUD196837:VUE196841 VUD262251:VUE262255 VUD262373:VUE262377 VUD327787:VUE327791 VUD327909:VUE327913 VUD393323:VUE393327 VUD393445:VUE393449 VUD458859:VUE458863 VUD458981:VUE458985 VUD524395:VUE524399 VUD524517:VUE524521 VUD589931:VUE589935 VUD590053:VUE590057 VUD655467:VUE655471 VUD655589:VUE655593 VUD721003:VUE721007 VUD721125:VUE721129 VUD786539:VUE786543 VUD786661:VUE786665 VUD852075:VUE852079 VUD852197:VUE852201 VUD917611:VUE917615 VUD917733:VUE917737 VUD983147:VUE983151 VUD983269:VUE983273 WDZ107:WEA111 WDZ229:WEA233 WDZ65643:WEA65647 WDZ65765:WEA65769 WDZ131179:WEA131183 WDZ131301:WEA131305 WDZ196715:WEA196719 WDZ196837:WEA196841 WDZ262251:WEA262255 WDZ262373:WEA262377 WDZ327787:WEA327791 WDZ327909:WEA327913 WDZ393323:WEA393327 WDZ393445:WEA393449 WDZ458859:WEA458863 WDZ458981:WEA458985 WDZ524395:WEA524399 WDZ524517:WEA524521 WDZ589931:WEA589935 WDZ590053:WEA590057 WDZ655467:WEA655471 WDZ655589:WEA655593 WDZ721003:WEA721007 WDZ721125:WEA721129 WDZ786539:WEA786543 WDZ786661:WEA786665 WDZ852075:WEA852079 WDZ852197:WEA852201 WDZ917611:WEA917615 WDZ917733:WEA917737 WDZ983147:WEA983151 WDZ983269:WEA983273 WNV107:WNW111 WNV229:WNW233 WNV65643:WNW65647 WNV65765:WNW65769 WNV131179:WNW131183 WNV131301:WNW131305 WNV196715:WNW196719 WNV196837:WNW196841 WNV262251:WNW262255 WNV262373:WNW262377 WNV327787:WNW327791 WNV327909:WNW327913 WNV393323:WNW393327 WNV393445:WNW393449 WNV458859:WNW458863 WNV458981:WNW458985 WNV524395:WNW524399 WNV524517:WNW524521 WNV589931:WNW589935 WNV590053:WNW590057 WNV655467:WNW655471 WNV655589:WNW655593 WNV721003:WNW721007 WNV721125:WNW721129 WNV786539:WNW786543 WNV786661:WNW786665 WNV852075:WNW852079 WNV852197:WNW852201 WNV917611:WNW917615 WNV917733:WNW917737 WNV983147:WNW983151 WNV983269:WNW983273 WXR107:WXS111 WXR229:WXS233 WXR65643:WXS65647 WXR65765:WXS65769 WXR131179:WXS131183 WXR131301:WXS131305 WXR196715:WXS196719 WXR196837:WXS196841 WXR262251:WXS262255 WXR262373:WXS262377 WXR327787:WXS327791 WXR327909:WXS327913 WXR393323:WXS393327 WXR393445:WXS393449 WXR458859:WXS458863 WXR458981:WXS458985 WXR524395:WXS524399 WXR524517:WXS524521 WXR589931:WXS589935 WXR590053:WXS590057 WXR655467:WXS655471 WXR655589:WXS655593 WXR721003:WXS721007 WXR721125:WXS721129 WXR786539:WXS786543 WXR786661:WXS786665 WXR852075:WXS852079 WXR852197:WXS852201 WXR917611:WXS917615 WXR917733:WXS917737 WXR983147:WXS983151 WXR983269:WXS983273">
      <formula1>"〇"</formula1>
    </dataValidation>
    <dataValidation type="list" allowBlank="1" showInputMessage="1" showErrorMessage="1" sqref="AQ37 AQ159:AS161 AQ65573:AS65575 AQ65695:AS65697 AQ131109:AS131111 AQ131231:AS131233 AQ196645:AS196647 AQ196767:AS196769 AQ262181:AS262183 AQ262303:AS262305 AQ327717:AS327719 AQ327839:AS327841 AQ393253:AS393255 AQ393375:AS393377 AQ458789:AS458791 AQ458911:AS458913 AQ524325:AS524327 AQ524447:AS524449 AQ589861:AS589863 AQ589983:AS589985 AQ655397:AS655399 AQ655519:AS655521 AQ720933:AS720935 AQ721055:AS721057 AQ786469:AS786471 AQ786591:AS786593 AQ852005:AS852007 AQ852127:AS852129 AQ917541:AS917543 AQ917663:AS917665 AQ983077:AS983079 AQ983199:AS983201 KM37:KO39 KM159:KO161 KM65573:KO65575 KM65695:KO65697 KM131109:KO131111 KM131231:KO131233 KM196645:KO196647 KM196767:KO196769 KM262181:KO262183 KM262303:KO262305 KM327717:KO327719 KM327839:KO327841 KM393253:KO393255 KM393375:KO393377 KM458789:KO458791 KM458911:KO458913 KM524325:KO524327 KM524447:KO524449 KM589861:KO589863 KM589983:KO589985 KM655397:KO655399 KM655519:KO655521 KM720933:KO720935 KM721055:KO721057 KM786469:KO786471 KM786591:KO786593 KM852005:KO852007 KM852127:KO852129 KM917541:KO917543 KM917663:KO917665 KM983077:KO983079 KM983199:KO983201 UI37:UK39 UI159:UK161 UI65573:UK65575 UI65695:UK65697 UI131109:UK131111 UI131231:UK131233 UI196645:UK196647 UI196767:UK196769 UI262181:UK262183 UI262303:UK262305 UI327717:UK327719 UI327839:UK327841 UI393253:UK393255 UI393375:UK393377 UI458789:UK458791 UI458911:UK458913 UI524325:UK524327 UI524447:UK524449 UI589861:UK589863 UI589983:UK589985 UI655397:UK655399 UI655519:UK655521 UI720933:UK720935 UI721055:UK721057 UI786469:UK786471 UI786591:UK786593 UI852005:UK852007 UI852127:UK852129 UI917541:UK917543 UI917663:UK917665 UI983077:UK983079 UI983199:UK983201 AEE37:AEG39 AEE159:AEG161 AEE65573:AEG65575 AEE65695:AEG65697 AEE131109:AEG131111 AEE131231:AEG131233 AEE196645:AEG196647 AEE196767:AEG196769 AEE262181:AEG262183 AEE262303:AEG262305 AEE327717:AEG327719 AEE327839:AEG327841 AEE393253:AEG393255 AEE393375:AEG393377 AEE458789:AEG458791 AEE458911:AEG458913 AEE524325:AEG524327 AEE524447:AEG524449 AEE589861:AEG589863 AEE589983:AEG589985 AEE655397:AEG655399 AEE655519:AEG655521 AEE720933:AEG720935 AEE721055:AEG721057 AEE786469:AEG786471 AEE786591:AEG786593 AEE852005:AEG852007 AEE852127:AEG852129 AEE917541:AEG917543 AEE917663:AEG917665 AEE983077:AEG983079 AEE983199:AEG983201 AOA37:AOC39 AOA159:AOC161 AOA65573:AOC65575 AOA65695:AOC65697 AOA131109:AOC131111 AOA131231:AOC131233 AOA196645:AOC196647 AOA196767:AOC196769 AOA262181:AOC262183 AOA262303:AOC262305 AOA327717:AOC327719 AOA327839:AOC327841 AOA393253:AOC393255 AOA393375:AOC393377 AOA458789:AOC458791 AOA458911:AOC458913 AOA524325:AOC524327 AOA524447:AOC524449 AOA589861:AOC589863 AOA589983:AOC589985 AOA655397:AOC655399 AOA655519:AOC655521 AOA720933:AOC720935 AOA721055:AOC721057 AOA786469:AOC786471 AOA786591:AOC786593 AOA852005:AOC852007 AOA852127:AOC852129 AOA917541:AOC917543 AOA917663:AOC917665 AOA983077:AOC983079 AOA983199:AOC983201 AXW37:AXY39 AXW159:AXY161 AXW65573:AXY65575 AXW65695:AXY65697 AXW131109:AXY131111 AXW131231:AXY131233 AXW196645:AXY196647 AXW196767:AXY196769 AXW262181:AXY262183 AXW262303:AXY262305 AXW327717:AXY327719 AXW327839:AXY327841 AXW393253:AXY393255 AXW393375:AXY393377 AXW458789:AXY458791 AXW458911:AXY458913 AXW524325:AXY524327 AXW524447:AXY524449 AXW589861:AXY589863 AXW589983:AXY589985 AXW655397:AXY655399 AXW655519:AXY655521 AXW720933:AXY720935 AXW721055:AXY721057 AXW786469:AXY786471 AXW786591:AXY786593 AXW852005:AXY852007 AXW852127:AXY852129 AXW917541:AXY917543 AXW917663:AXY917665 AXW983077:AXY983079 AXW983199:AXY983201 BHS37:BHU39 BHS159:BHU161 BHS65573:BHU65575 BHS65695:BHU65697 BHS131109:BHU131111 BHS131231:BHU131233 BHS196645:BHU196647 BHS196767:BHU196769 BHS262181:BHU262183 BHS262303:BHU262305 BHS327717:BHU327719 BHS327839:BHU327841 BHS393253:BHU393255 BHS393375:BHU393377 BHS458789:BHU458791 BHS458911:BHU458913 BHS524325:BHU524327 BHS524447:BHU524449 BHS589861:BHU589863 BHS589983:BHU589985 BHS655397:BHU655399 BHS655519:BHU655521 BHS720933:BHU720935 BHS721055:BHU721057 BHS786469:BHU786471 BHS786591:BHU786593 BHS852005:BHU852007 BHS852127:BHU852129 BHS917541:BHU917543 BHS917663:BHU917665 BHS983077:BHU983079 BHS983199:BHU983201 BRO37:BRQ39 BRO159:BRQ161 BRO65573:BRQ65575 BRO65695:BRQ65697 BRO131109:BRQ131111 BRO131231:BRQ131233 BRO196645:BRQ196647 BRO196767:BRQ196769 BRO262181:BRQ262183 BRO262303:BRQ262305 BRO327717:BRQ327719 BRO327839:BRQ327841 BRO393253:BRQ393255 BRO393375:BRQ393377 BRO458789:BRQ458791 BRO458911:BRQ458913 BRO524325:BRQ524327 BRO524447:BRQ524449 BRO589861:BRQ589863 BRO589983:BRQ589985 BRO655397:BRQ655399 BRO655519:BRQ655521 BRO720933:BRQ720935 BRO721055:BRQ721057 BRO786469:BRQ786471 BRO786591:BRQ786593 BRO852005:BRQ852007 BRO852127:BRQ852129 BRO917541:BRQ917543 BRO917663:BRQ917665 BRO983077:BRQ983079 BRO983199:BRQ983201 CBK37:CBM39 CBK159:CBM161 CBK65573:CBM65575 CBK65695:CBM65697 CBK131109:CBM131111 CBK131231:CBM131233 CBK196645:CBM196647 CBK196767:CBM196769 CBK262181:CBM262183 CBK262303:CBM262305 CBK327717:CBM327719 CBK327839:CBM327841 CBK393253:CBM393255 CBK393375:CBM393377 CBK458789:CBM458791 CBK458911:CBM458913 CBK524325:CBM524327 CBK524447:CBM524449 CBK589861:CBM589863 CBK589983:CBM589985 CBK655397:CBM655399 CBK655519:CBM655521 CBK720933:CBM720935 CBK721055:CBM721057 CBK786469:CBM786471 CBK786591:CBM786593 CBK852005:CBM852007 CBK852127:CBM852129 CBK917541:CBM917543 CBK917663:CBM917665 CBK983077:CBM983079 CBK983199:CBM983201 CLG37:CLI39 CLG159:CLI161 CLG65573:CLI65575 CLG65695:CLI65697 CLG131109:CLI131111 CLG131231:CLI131233 CLG196645:CLI196647 CLG196767:CLI196769 CLG262181:CLI262183 CLG262303:CLI262305 CLG327717:CLI327719 CLG327839:CLI327841 CLG393253:CLI393255 CLG393375:CLI393377 CLG458789:CLI458791 CLG458911:CLI458913 CLG524325:CLI524327 CLG524447:CLI524449 CLG589861:CLI589863 CLG589983:CLI589985 CLG655397:CLI655399 CLG655519:CLI655521 CLG720933:CLI720935 CLG721055:CLI721057 CLG786469:CLI786471 CLG786591:CLI786593 CLG852005:CLI852007 CLG852127:CLI852129 CLG917541:CLI917543 CLG917663:CLI917665 CLG983077:CLI983079 CLG983199:CLI983201 CVC37:CVE39 CVC159:CVE161 CVC65573:CVE65575 CVC65695:CVE65697 CVC131109:CVE131111 CVC131231:CVE131233 CVC196645:CVE196647 CVC196767:CVE196769 CVC262181:CVE262183 CVC262303:CVE262305 CVC327717:CVE327719 CVC327839:CVE327841 CVC393253:CVE393255 CVC393375:CVE393377 CVC458789:CVE458791 CVC458911:CVE458913 CVC524325:CVE524327 CVC524447:CVE524449 CVC589861:CVE589863 CVC589983:CVE589985 CVC655397:CVE655399 CVC655519:CVE655521 CVC720933:CVE720935 CVC721055:CVE721057 CVC786469:CVE786471 CVC786591:CVE786593 CVC852005:CVE852007 CVC852127:CVE852129 CVC917541:CVE917543 CVC917663:CVE917665 CVC983077:CVE983079 CVC983199:CVE983201 DEY37:DFA39 DEY159:DFA161 DEY65573:DFA65575 DEY65695:DFA65697 DEY131109:DFA131111 DEY131231:DFA131233 DEY196645:DFA196647 DEY196767:DFA196769 DEY262181:DFA262183 DEY262303:DFA262305 DEY327717:DFA327719 DEY327839:DFA327841 DEY393253:DFA393255 DEY393375:DFA393377 DEY458789:DFA458791 DEY458911:DFA458913 DEY524325:DFA524327 DEY524447:DFA524449 DEY589861:DFA589863 DEY589983:DFA589985 DEY655397:DFA655399 DEY655519:DFA655521 DEY720933:DFA720935 DEY721055:DFA721057 DEY786469:DFA786471 DEY786591:DFA786593 DEY852005:DFA852007 DEY852127:DFA852129 DEY917541:DFA917543 DEY917663:DFA917665 DEY983077:DFA983079 DEY983199:DFA983201 DOU37:DOW39 DOU159:DOW161 DOU65573:DOW65575 DOU65695:DOW65697 DOU131109:DOW131111 DOU131231:DOW131233 DOU196645:DOW196647 DOU196767:DOW196769 DOU262181:DOW262183 DOU262303:DOW262305 DOU327717:DOW327719 DOU327839:DOW327841 DOU393253:DOW393255 DOU393375:DOW393377 DOU458789:DOW458791 DOU458911:DOW458913 DOU524325:DOW524327 DOU524447:DOW524449 DOU589861:DOW589863 DOU589983:DOW589985 DOU655397:DOW655399 DOU655519:DOW655521 DOU720933:DOW720935 DOU721055:DOW721057 DOU786469:DOW786471 DOU786591:DOW786593 DOU852005:DOW852007 DOU852127:DOW852129 DOU917541:DOW917543 DOU917663:DOW917665 DOU983077:DOW983079 DOU983199:DOW983201 DYQ37:DYS39 DYQ159:DYS161 DYQ65573:DYS65575 DYQ65695:DYS65697 DYQ131109:DYS131111 DYQ131231:DYS131233 DYQ196645:DYS196647 DYQ196767:DYS196769 DYQ262181:DYS262183 DYQ262303:DYS262305 DYQ327717:DYS327719 DYQ327839:DYS327841 DYQ393253:DYS393255 DYQ393375:DYS393377 DYQ458789:DYS458791 DYQ458911:DYS458913 DYQ524325:DYS524327 DYQ524447:DYS524449 DYQ589861:DYS589863 DYQ589983:DYS589985 DYQ655397:DYS655399 DYQ655519:DYS655521 DYQ720933:DYS720935 DYQ721055:DYS721057 DYQ786469:DYS786471 DYQ786591:DYS786593 DYQ852005:DYS852007 DYQ852127:DYS852129 DYQ917541:DYS917543 DYQ917663:DYS917665 DYQ983077:DYS983079 DYQ983199:DYS983201 EIM37:EIO39 EIM159:EIO161 EIM65573:EIO65575 EIM65695:EIO65697 EIM131109:EIO131111 EIM131231:EIO131233 EIM196645:EIO196647 EIM196767:EIO196769 EIM262181:EIO262183 EIM262303:EIO262305 EIM327717:EIO327719 EIM327839:EIO327841 EIM393253:EIO393255 EIM393375:EIO393377 EIM458789:EIO458791 EIM458911:EIO458913 EIM524325:EIO524327 EIM524447:EIO524449 EIM589861:EIO589863 EIM589983:EIO589985 EIM655397:EIO655399 EIM655519:EIO655521 EIM720933:EIO720935 EIM721055:EIO721057 EIM786469:EIO786471 EIM786591:EIO786593 EIM852005:EIO852007 EIM852127:EIO852129 EIM917541:EIO917543 EIM917663:EIO917665 EIM983077:EIO983079 EIM983199:EIO983201 ESI37:ESK39 ESI159:ESK161 ESI65573:ESK65575 ESI65695:ESK65697 ESI131109:ESK131111 ESI131231:ESK131233 ESI196645:ESK196647 ESI196767:ESK196769 ESI262181:ESK262183 ESI262303:ESK262305 ESI327717:ESK327719 ESI327839:ESK327841 ESI393253:ESK393255 ESI393375:ESK393377 ESI458789:ESK458791 ESI458911:ESK458913 ESI524325:ESK524327 ESI524447:ESK524449 ESI589861:ESK589863 ESI589983:ESK589985 ESI655397:ESK655399 ESI655519:ESK655521 ESI720933:ESK720935 ESI721055:ESK721057 ESI786469:ESK786471 ESI786591:ESK786593 ESI852005:ESK852007 ESI852127:ESK852129 ESI917541:ESK917543 ESI917663:ESK917665 ESI983077:ESK983079 ESI983199:ESK983201 FCE37:FCG39 FCE159:FCG161 FCE65573:FCG65575 FCE65695:FCG65697 FCE131109:FCG131111 FCE131231:FCG131233 FCE196645:FCG196647 FCE196767:FCG196769 FCE262181:FCG262183 FCE262303:FCG262305 FCE327717:FCG327719 FCE327839:FCG327841 FCE393253:FCG393255 FCE393375:FCG393377 FCE458789:FCG458791 FCE458911:FCG458913 FCE524325:FCG524327 FCE524447:FCG524449 FCE589861:FCG589863 FCE589983:FCG589985 FCE655397:FCG655399 FCE655519:FCG655521 FCE720933:FCG720935 FCE721055:FCG721057 FCE786469:FCG786471 FCE786591:FCG786593 FCE852005:FCG852007 FCE852127:FCG852129 FCE917541:FCG917543 FCE917663:FCG917665 FCE983077:FCG983079 FCE983199:FCG983201 FMA37:FMC39 FMA159:FMC161 FMA65573:FMC65575 FMA65695:FMC65697 FMA131109:FMC131111 FMA131231:FMC131233 FMA196645:FMC196647 FMA196767:FMC196769 FMA262181:FMC262183 FMA262303:FMC262305 FMA327717:FMC327719 FMA327839:FMC327841 FMA393253:FMC393255 FMA393375:FMC393377 FMA458789:FMC458791 FMA458911:FMC458913 FMA524325:FMC524327 FMA524447:FMC524449 FMA589861:FMC589863 FMA589983:FMC589985 FMA655397:FMC655399 FMA655519:FMC655521 FMA720933:FMC720935 FMA721055:FMC721057 FMA786469:FMC786471 FMA786591:FMC786593 FMA852005:FMC852007 FMA852127:FMC852129 FMA917541:FMC917543 FMA917663:FMC917665 FMA983077:FMC983079 FMA983199:FMC983201 FVW37:FVY39 FVW159:FVY161 FVW65573:FVY65575 FVW65695:FVY65697 FVW131109:FVY131111 FVW131231:FVY131233 FVW196645:FVY196647 FVW196767:FVY196769 FVW262181:FVY262183 FVW262303:FVY262305 FVW327717:FVY327719 FVW327839:FVY327841 FVW393253:FVY393255 FVW393375:FVY393377 FVW458789:FVY458791 FVW458911:FVY458913 FVW524325:FVY524327 FVW524447:FVY524449 FVW589861:FVY589863 FVW589983:FVY589985 FVW655397:FVY655399 FVW655519:FVY655521 FVW720933:FVY720935 FVW721055:FVY721057 FVW786469:FVY786471 FVW786591:FVY786593 FVW852005:FVY852007 FVW852127:FVY852129 FVW917541:FVY917543 FVW917663:FVY917665 FVW983077:FVY983079 FVW983199:FVY983201 GFS37:GFU39 GFS159:GFU161 GFS65573:GFU65575 GFS65695:GFU65697 GFS131109:GFU131111 GFS131231:GFU131233 GFS196645:GFU196647 GFS196767:GFU196769 GFS262181:GFU262183 GFS262303:GFU262305 GFS327717:GFU327719 GFS327839:GFU327841 GFS393253:GFU393255 GFS393375:GFU393377 GFS458789:GFU458791 GFS458911:GFU458913 GFS524325:GFU524327 GFS524447:GFU524449 GFS589861:GFU589863 GFS589983:GFU589985 GFS655397:GFU655399 GFS655519:GFU655521 GFS720933:GFU720935 GFS721055:GFU721057 GFS786469:GFU786471 GFS786591:GFU786593 GFS852005:GFU852007 GFS852127:GFU852129 GFS917541:GFU917543 GFS917663:GFU917665 GFS983077:GFU983079 GFS983199:GFU983201 GPO37:GPQ39 GPO159:GPQ161 GPO65573:GPQ65575 GPO65695:GPQ65697 GPO131109:GPQ131111 GPO131231:GPQ131233 GPO196645:GPQ196647 GPO196767:GPQ196769 GPO262181:GPQ262183 GPO262303:GPQ262305 GPO327717:GPQ327719 GPO327839:GPQ327841 GPO393253:GPQ393255 GPO393375:GPQ393377 GPO458789:GPQ458791 GPO458911:GPQ458913 GPO524325:GPQ524327 GPO524447:GPQ524449 GPO589861:GPQ589863 GPO589983:GPQ589985 GPO655397:GPQ655399 GPO655519:GPQ655521 GPO720933:GPQ720935 GPO721055:GPQ721057 GPO786469:GPQ786471 GPO786591:GPQ786593 GPO852005:GPQ852007 GPO852127:GPQ852129 GPO917541:GPQ917543 GPO917663:GPQ917665 GPO983077:GPQ983079 GPO983199:GPQ983201 GZK37:GZM39 GZK159:GZM161 GZK65573:GZM65575 GZK65695:GZM65697 GZK131109:GZM131111 GZK131231:GZM131233 GZK196645:GZM196647 GZK196767:GZM196769 GZK262181:GZM262183 GZK262303:GZM262305 GZK327717:GZM327719 GZK327839:GZM327841 GZK393253:GZM393255 GZK393375:GZM393377 GZK458789:GZM458791 GZK458911:GZM458913 GZK524325:GZM524327 GZK524447:GZM524449 GZK589861:GZM589863 GZK589983:GZM589985 GZK655397:GZM655399 GZK655519:GZM655521 GZK720933:GZM720935 GZK721055:GZM721057 GZK786469:GZM786471 GZK786591:GZM786593 GZK852005:GZM852007 GZK852127:GZM852129 GZK917541:GZM917543 GZK917663:GZM917665 GZK983077:GZM983079 GZK983199:GZM983201 HJG37:HJI39 HJG159:HJI161 HJG65573:HJI65575 HJG65695:HJI65697 HJG131109:HJI131111 HJG131231:HJI131233 HJG196645:HJI196647 HJG196767:HJI196769 HJG262181:HJI262183 HJG262303:HJI262305 HJG327717:HJI327719 HJG327839:HJI327841 HJG393253:HJI393255 HJG393375:HJI393377 HJG458789:HJI458791 HJG458911:HJI458913 HJG524325:HJI524327 HJG524447:HJI524449 HJG589861:HJI589863 HJG589983:HJI589985 HJG655397:HJI655399 HJG655519:HJI655521 HJG720933:HJI720935 HJG721055:HJI721057 HJG786469:HJI786471 HJG786591:HJI786593 HJG852005:HJI852007 HJG852127:HJI852129 HJG917541:HJI917543 HJG917663:HJI917665 HJG983077:HJI983079 HJG983199:HJI983201 HTC37:HTE39 HTC159:HTE161 HTC65573:HTE65575 HTC65695:HTE65697 HTC131109:HTE131111 HTC131231:HTE131233 HTC196645:HTE196647 HTC196767:HTE196769 HTC262181:HTE262183 HTC262303:HTE262305 HTC327717:HTE327719 HTC327839:HTE327841 HTC393253:HTE393255 HTC393375:HTE393377 HTC458789:HTE458791 HTC458911:HTE458913 HTC524325:HTE524327 HTC524447:HTE524449 HTC589861:HTE589863 HTC589983:HTE589985 HTC655397:HTE655399 HTC655519:HTE655521 HTC720933:HTE720935 HTC721055:HTE721057 HTC786469:HTE786471 HTC786591:HTE786593 HTC852005:HTE852007 HTC852127:HTE852129 HTC917541:HTE917543 HTC917663:HTE917665 HTC983077:HTE983079 HTC983199:HTE983201 ICY37:IDA39 ICY159:IDA161 ICY65573:IDA65575 ICY65695:IDA65697 ICY131109:IDA131111 ICY131231:IDA131233 ICY196645:IDA196647 ICY196767:IDA196769 ICY262181:IDA262183 ICY262303:IDA262305 ICY327717:IDA327719 ICY327839:IDA327841 ICY393253:IDA393255 ICY393375:IDA393377 ICY458789:IDA458791 ICY458911:IDA458913 ICY524325:IDA524327 ICY524447:IDA524449 ICY589861:IDA589863 ICY589983:IDA589985 ICY655397:IDA655399 ICY655519:IDA655521 ICY720933:IDA720935 ICY721055:IDA721057 ICY786469:IDA786471 ICY786591:IDA786593 ICY852005:IDA852007 ICY852127:IDA852129 ICY917541:IDA917543 ICY917663:IDA917665 ICY983077:IDA983079 ICY983199:IDA983201 IMU37:IMW39 IMU159:IMW161 IMU65573:IMW65575 IMU65695:IMW65697 IMU131109:IMW131111 IMU131231:IMW131233 IMU196645:IMW196647 IMU196767:IMW196769 IMU262181:IMW262183 IMU262303:IMW262305 IMU327717:IMW327719 IMU327839:IMW327841 IMU393253:IMW393255 IMU393375:IMW393377 IMU458789:IMW458791 IMU458911:IMW458913 IMU524325:IMW524327 IMU524447:IMW524449 IMU589861:IMW589863 IMU589983:IMW589985 IMU655397:IMW655399 IMU655519:IMW655521 IMU720933:IMW720935 IMU721055:IMW721057 IMU786469:IMW786471 IMU786591:IMW786593 IMU852005:IMW852007 IMU852127:IMW852129 IMU917541:IMW917543 IMU917663:IMW917665 IMU983077:IMW983079 IMU983199:IMW983201 IWQ37:IWS39 IWQ159:IWS161 IWQ65573:IWS65575 IWQ65695:IWS65697 IWQ131109:IWS131111 IWQ131231:IWS131233 IWQ196645:IWS196647 IWQ196767:IWS196769 IWQ262181:IWS262183 IWQ262303:IWS262305 IWQ327717:IWS327719 IWQ327839:IWS327841 IWQ393253:IWS393255 IWQ393375:IWS393377 IWQ458789:IWS458791 IWQ458911:IWS458913 IWQ524325:IWS524327 IWQ524447:IWS524449 IWQ589861:IWS589863 IWQ589983:IWS589985 IWQ655397:IWS655399 IWQ655519:IWS655521 IWQ720933:IWS720935 IWQ721055:IWS721057 IWQ786469:IWS786471 IWQ786591:IWS786593 IWQ852005:IWS852007 IWQ852127:IWS852129 IWQ917541:IWS917543 IWQ917663:IWS917665 IWQ983077:IWS983079 IWQ983199:IWS983201 JGM37:JGO39 JGM159:JGO161 JGM65573:JGO65575 JGM65695:JGO65697 JGM131109:JGO131111 JGM131231:JGO131233 JGM196645:JGO196647 JGM196767:JGO196769 JGM262181:JGO262183 JGM262303:JGO262305 JGM327717:JGO327719 JGM327839:JGO327841 JGM393253:JGO393255 JGM393375:JGO393377 JGM458789:JGO458791 JGM458911:JGO458913 JGM524325:JGO524327 JGM524447:JGO524449 JGM589861:JGO589863 JGM589983:JGO589985 JGM655397:JGO655399 JGM655519:JGO655521 JGM720933:JGO720935 JGM721055:JGO721057 JGM786469:JGO786471 JGM786591:JGO786593 JGM852005:JGO852007 JGM852127:JGO852129 JGM917541:JGO917543 JGM917663:JGO917665 JGM983077:JGO983079 JGM983199:JGO983201 JQI37:JQK39 JQI159:JQK161 JQI65573:JQK65575 JQI65695:JQK65697 JQI131109:JQK131111 JQI131231:JQK131233 JQI196645:JQK196647 JQI196767:JQK196769 JQI262181:JQK262183 JQI262303:JQK262305 JQI327717:JQK327719 JQI327839:JQK327841 JQI393253:JQK393255 JQI393375:JQK393377 JQI458789:JQK458791 JQI458911:JQK458913 JQI524325:JQK524327 JQI524447:JQK524449 JQI589861:JQK589863 JQI589983:JQK589985 JQI655397:JQK655399 JQI655519:JQK655521 JQI720933:JQK720935 JQI721055:JQK721057 JQI786469:JQK786471 JQI786591:JQK786593 JQI852005:JQK852007 JQI852127:JQK852129 JQI917541:JQK917543 JQI917663:JQK917665 JQI983077:JQK983079 JQI983199:JQK983201 KAE37:KAG39 KAE159:KAG161 KAE65573:KAG65575 KAE65695:KAG65697 KAE131109:KAG131111 KAE131231:KAG131233 KAE196645:KAG196647 KAE196767:KAG196769 KAE262181:KAG262183 KAE262303:KAG262305 KAE327717:KAG327719 KAE327839:KAG327841 KAE393253:KAG393255 KAE393375:KAG393377 KAE458789:KAG458791 KAE458911:KAG458913 KAE524325:KAG524327 KAE524447:KAG524449 KAE589861:KAG589863 KAE589983:KAG589985 KAE655397:KAG655399 KAE655519:KAG655521 KAE720933:KAG720935 KAE721055:KAG721057 KAE786469:KAG786471 KAE786591:KAG786593 KAE852005:KAG852007 KAE852127:KAG852129 KAE917541:KAG917543 KAE917663:KAG917665 KAE983077:KAG983079 KAE983199:KAG983201 KKA37:KKC39 KKA159:KKC161 KKA65573:KKC65575 KKA65695:KKC65697 KKA131109:KKC131111 KKA131231:KKC131233 KKA196645:KKC196647 KKA196767:KKC196769 KKA262181:KKC262183 KKA262303:KKC262305 KKA327717:KKC327719 KKA327839:KKC327841 KKA393253:KKC393255 KKA393375:KKC393377 KKA458789:KKC458791 KKA458911:KKC458913 KKA524325:KKC524327 KKA524447:KKC524449 KKA589861:KKC589863 KKA589983:KKC589985 KKA655397:KKC655399 KKA655519:KKC655521 KKA720933:KKC720935 KKA721055:KKC721057 KKA786469:KKC786471 KKA786591:KKC786593 KKA852005:KKC852007 KKA852127:KKC852129 KKA917541:KKC917543 KKA917663:KKC917665 KKA983077:KKC983079 KKA983199:KKC983201 KTW37:KTY39 KTW159:KTY161 KTW65573:KTY65575 KTW65695:KTY65697 KTW131109:KTY131111 KTW131231:KTY131233 KTW196645:KTY196647 KTW196767:KTY196769 KTW262181:KTY262183 KTW262303:KTY262305 KTW327717:KTY327719 KTW327839:KTY327841 KTW393253:KTY393255 KTW393375:KTY393377 KTW458789:KTY458791 KTW458911:KTY458913 KTW524325:KTY524327 KTW524447:KTY524449 KTW589861:KTY589863 KTW589983:KTY589985 KTW655397:KTY655399 KTW655519:KTY655521 KTW720933:KTY720935 KTW721055:KTY721057 KTW786469:KTY786471 KTW786591:KTY786593 KTW852005:KTY852007 KTW852127:KTY852129 KTW917541:KTY917543 KTW917663:KTY917665 KTW983077:KTY983079 KTW983199:KTY983201 LDS37:LDU39 LDS159:LDU161 LDS65573:LDU65575 LDS65695:LDU65697 LDS131109:LDU131111 LDS131231:LDU131233 LDS196645:LDU196647 LDS196767:LDU196769 LDS262181:LDU262183 LDS262303:LDU262305 LDS327717:LDU327719 LDS327839:LDU327841 LDS393253:LDU393255 LDS393375:LDU393377 LDS458789:LDU458791 LDS458911:LDU458913 LDS524325:LDU524327 LDS524447:LDU524449 LDS589861:LDU589863 LDS589983:LDU589985 LDS655397:LDU655399 LDS655519:LDU655521 LDS720933:LDU720935 LDS721055:LDU721057 LDS786469:LDU786471 LDS786591:LDU786593 LDS852005:LDU852007 LDS852127:LDU852129 LDS917541:LDU917543 LDS917663:LDU917665 LDS983077:LDU983079 LDS983199:LDU983201 LNO37:LNQ39 LNO159:LNQ161 LNO65573:LNQ65575 LNO65695:LNQ65697 LNO131109:LNQ131111 LNO131231:LNQ131233 LNO196645:LNQ196647 LNO196767:LNQ196769 LNO262181:LNQ262183 LNO262303:LNQ262305 LNO327717:LNQ327719 LNO327839:LNQ327841 LNO393253:LNQ393255 LNO393375:LNQ393377 LNO458789:LNQ458791 LNO458911:LNQ458913 LNO524325:LNQ524327 LNO524447:LNQ524449 LNO589861:LNQ589863 LNO589983:LNQ589985 LNO655397:LNQ655399 LNO655519:LNQ655521 LNO720933:LNQ720935 LNO721055:LNQ721057 LNO786469:LNQ786471 LNO786591:LNQ786593 LNO852005:LNQ852007 LNO852127:LNQ852129 LNO917541:LNQ917543 LNO917663:LNQ917665 LNO983077:LNQ983079 LNO983199:LNQ983201 LXK37:LXM39 LXK159:LXM161 LXK65573:LXM65575 LXK65695:LXM65697 LXK131109:LXM131111 LXK131231:LXM131233 LXK196645:LXM196647 LXK196767:LXM196769 LXK262181:LXM262183 LXK262303:LXM262305 LXK327717:LXM327719 LXK327839:LXM327841 LXK393253:LXM393255 LXK393375:LXM393377 LXK458789:LXM458791 LXK458911:LXM458913 LXK524325:LXM524327 LXK524447:LXM524449 LXK589861:LXM589863 LXK589983:LXM589985 LXK655397:LXM655399 LXK655519:LXM655521 LXK720933:LXM720935 LXK721055:LXM721057 LXK786469:LXM786471 LXK786591:LXM786593 LXK852005:LXM852007 LXK852127:LXM852129 LXK917541:LXM917543 LXK917663:LXM917665 LXK983077:LXM983079 LXK983199:LXM983201 MHG37:MHI39 MHG159:MHI161 MHG65573:MHI65575 MHG65695:MHI65697 MHG131109:MHI131111 MHG131231:MHI131233 MHG196645:MHI196647 MHG196767:MHI196769 MHG262181:MHI262183 MHG262303:MHI262305 MHG327717:MHI327719 MHG327839:MHI327841 MHG393253:MHI393255 MHG393375:MHI393377 MHG458789:MHI458791 MHG458911:MHI458913 MHG524325:MHI524327 MHG524447:MHI524449 MHG589861:MHI589863 MHG589983:MHI589985 MHG655397:MHI655399 MHG655519:MHI655521 MHG720933:MHI720935 MHG721055:MHI721057 MHG786469:MHI786471 MHG786591:MHI786593 MHG852005:MHI852007 MHG852127:MHI852129 MHG917541:MHI917543 MHG917663:MHI917665 MHG983077:MHI983079 MHG983199:MHI983201 MRC37:MRE39 MRC159:MRE161 MRC65573:MRE65575 MRC65695:MRE65697 MRC131109:MRE131111 MRC131231:MRE131233 MRC196645:MRE196647 MRC196767:MRE196769 MRC262181:MRE262183 MRC262303:MRE262305 MRC327717:MRE327719 MRC327839:MRE327841 MRC393253:MRE393255 MRC393375:MRE393377 MRC458789:MRE458791 MRC458911:MRE458913 MRC524325:MRE524327 MRC524447:MRE524449 MRC589861:MRE589863 MRC589983:MRE589985 MRC655397:MRE655399 MRC655519:MRE655521 MRC720933:MRE720935 MRC721055:MRE721057 MRC786469:MRE786471 MRC786591:MRE786593 MRC852005:MRE852007 MRC852127:MRE852129 MRC917541:MRE917543 MRC917663:MRE917665 MRC983077:MRE983079 MRC983199:MRE983201 NAY37:NBA39 NAY159:NBA161 NAY65573:NBA65575 NAY65695:NBA65697 NAY131109:NBA131111 NAY131231:NBA131233 NAY196645:NBA196647 NAY196767:NBA196769 NAY262181:NBA262183 NAY262303:NBA262305 NAY327717:NBA327719 NAY327839:NBA327841 NAY393253:NBA393255 NAY393375:NBA393377 NAY458789:NBA458791 NAY458911:NBA458913 NAY524325:NBA524327 NAY524447:NBA524449 NAY589861:NBA589863 NAY589983:NBA589985 NAY655397:NBA655399 NAY655519:NBA655521 NAY720933:NBA720935 NAY721055:NBA721057 NAY786469:NBA786471 NAY786591:NBA786593 NAY852005:NBA852007 NAY852127:NBA852129 NAY917541:NBA917543 NAY917663:NBA917665 NAY983077:NBA983079 NAY983199:NBA983201 NKU37:NKW39 NKU159:NKW161 NKU65573:NKW65575 NKU65695:NKW65697 NKU131109:NKW131111 NKU131231:NKW131233 NKU196645:NKW196647 NKU196767:NKW196769 NKU262181:NKW262183 NKU262303:NKW262305 NKU327717:NKW327719 NKU327839:NKW327841 NKU393253:NKW393255 NKU393375:NKW393377 NKU458789:NKW458791 NKU458911:NKW458913 NKU524325:NKW524327 NKU524447:NKW524449 NKU589861:NKW589863 NKU589983:NKW589985 NKU655397:NKW655399 NKU655519:NKW655521 NKU720933:NKW720935 NKU721055:NKW721057 NKU786469:NKW786471 NKU786591:NKW786593 NKU852005:NKW852007 NKU852127:NKW852129 NKU917541:NKW917543 NKU917663:NKW917665 NKU983077:NKW983079 NKU983199:NKW983201 NUQ37:NUS39 NUQ159:NUS161 NUQ65573:NUS65575 NUQ65695:NUS65697 NUQ131109:NUS131111 NUQ131231:NUS131233 NUQ196645:NUS196647 NUQ196767:NUS196769 NUQ262181:NUS262183 NUQ262303:NUS262305 NUQ327717:NUS327719 NUQ327839:NUS327841 NUQ393253:NUS393255 NUQ393375:NUS393377 NUQ458789:NUS458791 NUQ458911:NUS458913 NUQ524325:NUS524327 NUQ524447:NUS524449 NUQ589861:NUS589863 NUQ589983:NUS589985 NUQ655397:NUS655399 NUQ655519:NUS655521 NUQ720933:NUS720935 NUQ721055:NUS721057 NUQ786469:NUS786471 NUQ786591:NUS786593 NUQ852005:NUS852007 NUQ852127:NUS852129 NUQ917541:NUS917543 NUQ917663:NUS917665 NUQ983077:NUS983079 NUQ983199:NUS983201 OEM37:OEO39 OEM159:OEO161 OEM65573:OEO65575 OEM65695:OEO65697 OEM131109:OEO131111 OEM131231:OEO131233 OEM196645:OEO196647 OEM196767:OEO196769 OEM262181:OEO262183 OEM262303:OEO262305 OEM327717:OEO327719 OEM327839:OEO327841 OEM393253:OEO393255 OEM393375:OEO393377 OEM458789:OEO458791 OEM458911:OEO458913 OEM524325:OEO524327 OEM524447:OEO524449 OEM589861:OEO589863 OEM589983:OEO589985 OEM655397:OEO655399 OEM655519:OEO655521 OEM720933:OEO720935 OEM721055:OEO721057 OEM786469:OEO786471 OEM786591:OEO786593 OEM852005:OEO852007 OEM852127:OEO852129 OEM917541:OEO917543 OEM917663:OEO917665 OEM983077:OEO983079 OEM983199:OEO983201 OOI37:OOK39 OOI159:OOK161 OOI65573:OOK65575 OOI65695:OOK65697 OOI131109:OOK131111 OOI131231:OOK131233 OOI196645:OOK196647 OOI196767:OOK196769 OOI262181:OOK262183 OOI262303:OOK262305 OOI327717:OOK327719 OOI327839:OOK327841 OOI393253:OOK393255 OOI393375:OOK393377 OOI458789:OOK458791 OOI458911:OOK458913 OOI524325:OOK524327 OOI524447:OOK524449 OOI589861:OOK589863 OOI589983:OOK589985 OOI655397:OOK655399 OOI655519:OOK655521 OOI720933:OOK720935 OOI721055:OOK721057 OOI786469:OOK786471 OOI786591:OOK786593 OOI852005:OOK852007 OOI852127:OOK852129 OOI917541:OOK917543 OOI917663:OOK917665 OOI983077:OOK983079 OOI983199:OOK983201 OYE37:OYG39 OYE159:OYG161 OYE65573:OYG65575 OYE65695:OYG65697 OYE131109:OYG131111 OYE131231:OYG131233 OYE196645:OYG196647 OYE196767:OYG196769 OYE262181:OYG262183 OYE262303:OYG262305 OYE327717:OYG327719 OYE327839:OYG327841 OYE393253:OYG393255 OYE393375:OYG393377 OYE458789:OYG458791 OYE458911:OYG458913 OYE524325:OYG524327 OYE524447:OYG524449 OYE589861:OYG589863 OYE589983:OYG589985 OYE655397:OYG655399 OYE655519:OYG655521 OYE720933:OYG720935 OYE721055:OYG721057 OYE786469:OYG786471 OYE786591:OYG786593 OYE852005:OYG852007 OYE852127:OYG852129 OYE917541:OYG917543 OYE917663:OYG917665 OYE983077:OYG983079 OYE983199:OYG983201 PIA37:PIC39 PIA159:PIC161 PIA65573:PIC65575 PIA65695:PIC65697 PIA131109:PIC131111 PIA131231:PIC131233 PIA196645:PIC196647 PIA196767:PIC196769 PIA262181:PIC262183 PIA262303:PIC262305 PIA327717:PIC327719 PIA327839:PIC327841 PIA393253:PIC393255 PIA393375:PIC393377 PIA458789:PIC458791 PIA458911:PIC458913 PIA524325:PIC524327 PIA524447:PIC524449 PIA589861:PIC589863 PIA589983:PIC589985 PIA655397:PIC655399 PIA655519:PIC655521 PIA720933:PIC720935 PIA721055:PIC721057 PIA786469:PIC786471 PIA786591:PIC786593 PIA852005:PIC852007 PIA852127:PIC852129 PIA917541:PIC917543 PIA917663:PIC917665 PIA983077:PIC983079 PIA983199:PIC983201 PRW37:PRY39 PRW159:PRY161 PRW65573:PRY65575 PRW65695:PRY65697 PRW131109:PRY131111 PRW131231:PRY131233 PRW196645:PRY196647 PRW196767:PRY196769 PRW262181:PRY262183 PRW262303:PRY262305 PRW327717:PRY327719 PRW327839:PRY327841 PRW393253:PRY393255 PRW393375:PRY393377 PRW458789:PRY458791 PRW458911:PRY458913 PRW524325:PRY524327 PRW524447:PRY524449 PRW589861:PRY589863 PRW589983:PRY589985 PRW655397:PRY655399 PRW655519:PRY655521 PRW720933:PRY720935 PRW721055:PRY721057 PRW786469:PRY786471 PRW786591:PRY786593 PRW852005:PRY852007 PRW852127:PRY852129 PRW917541:PRY917543 PRW917663:PRY917665 PRW983077:PRY983079 PRW983199:PRY983201 QBS37:QBU39 QBS159:QBU161 QBS65573:QBU65575 QBS65695:QBU65697 QBS131109:QBU131111 QBS131231:QBU131233 QBS196645:QBU196647 QBS196767:QBU196769 QBS262181:QBU262183 QBS262303:QBU262305 QBS327717:QBU327719 QBS327839:QBU327841 QBS393253:QBU393255 QBS393375:QBU393377 QBS458789:QBU458791 QBS458911:QBU458913 QBS524325:QBU524327 QBS524447:QBU524449 QBS589861:QBU589863 QBS589983:QBU589985 QBS655397:QBU655399 QBS655519:QBU655521 QBS720933:QBU720935 QBS721055:QBU721057 QBS786469:QBU786471 QBS786591:QBU786593 QBS852005:QBU852007 QBS852127:QBU852129 QBS917541:QBU917543 QBS917663:QBU917665 QBS983077:QBU983079 QBS983199:QBU983201 QLO37:QLQ39 QLO159:QLQ161 QLO65573:QLQ65575 QLO65695:QLQ65697 QLO131109:QLQ131111 QLO131231:QLQ131233 QLO196645:QLQ196647 QLO196767:QLQ196769 QLO262181:QLQ262183 QLO262303:QLQ262305 QLO327717:QLQ327719 QLO327839:QLQ327841 QLO393253:QLQ393255 QLO393375:QLQ393377 QLO458789:QLQ458791 QLO458911:QLQ458913 QLO524325:QLQ524327 QLO524447:QLQ524449 QLO589861:QLQ589863 QLO589983:QLQ589985 QLO655397:QLQ655399 QLO655519:QLQ655521 QLO720933:QLQ720935 QLO721055:QLQ721057 QLO786469:QLQ786471 QLO786591:QLQ786593 QLO852005:QLQ852007 QLO852127:QLQ852129 QLO917541:QLQ917543 QLO917663:QLQ917665 QLO983077:QLQ983079 QLO983199:QLQ983201 QVK37:QVM39 QVK159:QVM161 QVK65573:QVM65575 QVK65695:QVM65697 QVK131109:QVM131111 QVK131231:QVM131233 QVK196645:QVM196647 QVK196767:QVM196769 QVK262181:QVM262183 QVK262303:QVM262305 QVK327717:QVM327719 QVK327839:QVM327841 QVK393253:QVM393255 QVK393375:QVM393377 QVK458789:QVM458791 QVK458911:QVM458913 QVK524325:QVM524327 QVK524447:QVM524449 QVK589861:QVM589863 QVK589983:QVM589985 QVK655397:QVM655399 QVK655519:QVM655521 QVK720933:QVM720935 QVK721055:QVM721057 QVK786469:QVM786471 QVK786591:QVM786593 QVK852005:QVM852007 QVK852127:QVM852129 QVK917541:QVM917543 QVK917663:QVM917665 QVK983077:QVM983079 QVK983199:QVM983201 RFG37:RFI39 RFG159:RFI161 RFG65573:RFI65575 RFG65695:RFI65697 RFG131109:RFI131111 RFG131231:RFI131233 RFG196645:RFI196647 RFG196767:RFI196769 RFG262181:RFI262183 RFG262303:RFI262305 RFG327717:RFI327719 RFG327839:RFI327841 RFG393253:RFI393255 RFG393375:RFI393377 RFG458789:RFI458791 RFG458911:RFI458913 RFG524325:RFI524327 RFG524447:RFI524449 RFG589861:RFI589863 RFG589983:RFI589985 RFG655397:RFI655399 RFG655519:RFI655521 RFG720933:RFI720935 RFG721055:RFI721057 RFG786469:RFI786471 RFG786591:RFI786593 RFG852005:RFI852007 RFG852127:RFI852129 RFG917541:RFI917543 RFG917663:RFI917665 RFG983077:RFI983079 RFG983199:RFI983201 RPC37:RPE39 RPC159:RPE161 RPC65573:RPE65575 RPC65695:RPE65697 RPC131109:RPE131111 RPC131231:RPE131233 RPC196645:RPE196647 RPC196767:RPE196769 RPC262181:RPE262183 RPC262303:RPE262305 RPC327717:RPE327719 RPC327839:RPE327841 RPC393253:RPE393255 RPC393375:RPE393377 RPC458789:RPE458791 RPC458911:RPE458913 RPC524325:RPE524327 RPC524447:RPE524449 RPC589861:RPE589863 RPC589983:RPE589985 RPC655397:RPE655399 RPC655519:RPE655521 RPC720933:RPE720935 RPC721055:RPE721057 RPC786469:RPE786471 RPC786591:RPE786593 RPC852005:RPE852007 RPC852127:RPE852129 RPC917541:RPE917543 RPC917663:RPE917665 RPC983077:RPE983079 RPC983199:RPE983201 RYY37:RZA39 RYY159:RZA161 RYY65573:RZA65575 RYY65695:RZA65697 RYY131109:RZA131111 RYY131231:RZA131233 RYY196645:RZA196647 RYY196767:RZA196769 RYY262181:RZA262183 RYY262303:RZA262305 RYY327717:RZA327719 RYY327839:RZA327841 RYY393253:RZA393255 RYY393375:RZA393377 RYY458789:RZA458791 RYY458911:RZA458913 RYY524325:RZA524327 RYY524447:RZA524449 RYY589861:RZA589863 RYY589983:RZA589985 RYY655397:RZA655399 RYY655519:RZA655521 RYY720933:RZA720935 RYY721055:RZA721057 RYY786469:RZA786471 RYY786591:RZA786593 RYY852005:RZA852007 RYY852127:RZA852129 RYY917541:RZA917543 RYY917663:RZA917665 RYY983077:RZA983079 RYY983199:RZA983201 SIU37:SIW39 SIU159:SIW161 SIU65573:SIW65575 SIU65695:SIW65697 SIU131109:SIW131111 SIU131231:SIW131233 SIU196645:SIW196647 SIU196767:SIW196769 SIU262181:SIW262183 SIU262303:SIW262305 SIU327717:SIW327719 SIU327839:SIW327841 SIU393253:SIW393255 SIU393375:SIW393377 SIU458789:SIW458791 SIU458911:SIW458913 SIU524325:SIW524327 SIU524447:SIW524449 SIU589861:SIW589863 SIU589983:SIW589985 SIU655397:SIW655399 SIU655519:SIW655521 SIU720933:SIW720935 SIU721055:SIW721057 SIU786469:SIW786471 SIU786591:SIW786593 SIU852005:SIW852007 SIU852127:SIW852129 SIU917541:SIW917543 SIU917663:SIW917665 SIU983077:SIW983079 SIU983199:SIW983201 SSQ37:SSS39 SSQ159:SSS161 SSQ65573:SSS65575 SSQ65695:SSS65697 SSQ131109:SSS131111 SSQ131231:SSS131233 SSQ196645:SSS196647 SSQ196767:SSS196769 SSQ262181:SSS262183 SSQ262303:SSS262305 SSQ327717:SSS327719 SSQ327839:SSS327841 SSQ393253:SSS393255 SSQ393375:SSS393377 SSQ458789:SSS458791 SSQ458911:SSS458913 SSQ524325:SSS524327 SSQ524447:SSS524449 SSQ589861:SSS589863 SSQ589983:SSS589985 SSQ655397:SSS655399 SSQ655519:SSS655521 SSQ720933:SSS720935 SSQ721055:SSS721057 SSQ786469:SSS786471 SSQ786591:SSS786593 SSQ852005:SSS852007 SSQ852127:SSS852129 SSQ917541:SSS917543 SSQ917663:SSS917665 SSQ983077:SSS983079 SSQ983199:SSS983201 TCM37:TCO39 TCM159:TCO161 TCM65573:TCO65575 TCM65695:TCO65697 TCM131109:TCO131111 TCM131231:TCO131233 TCM196645:TCO196647 TCM196767:TCO196769 TCM262181:TCO262183 TCM262303:TCO262305 TCM327717:TCO327719 TCM327839:TCO327841 TCM393253:TCO393255 TCM393375:TCO393377 TCM458789:TCO458791 TCM458911:TCO458913 TCM524325:TCO524327 TCM524447:TCO524449 TCM589861:TCO589863 TCM589983:TCO589985 TCM655397:TCO655399 TCM655519:TCO655521 TCM720933:TCO720935 TCM721055:TCO721057 TCM786469:TCO786471 TCM786591:TCO786593 TCM852005:TCO852007 TCM852127:TCO852129 TCM917541:TCO917543 TCM917663:TCO917665 TCM983077:TCO983079 TCM983199:TCO983201 TMI37:TMK39 TMI159:TMK161 TMI65573:TMK65575 TMI65695:TMK65697 TMI131109:TMK131111 TMI131231:TMK131233 TMI196645:TMK196647 TMI196767:TMK196769 TMI262181:TMK262183 TMI262303:TMK262305 TMI327717:TMK327719 TMI327839:TMK327841 TMI393253:TMK393255 TMI393375:TMK393377 TMI458789:TMK458791 TMI458911:TMK458913 TMI524325:TMK524327 TMI524447:TMK524449 TMI589861:TMK589863 TMI589983:TMK589985 TMI655397:TMK655399 TMI655519:TMK655521 TMI720933:TMK720935 TMI721055:TMK721057 TMI786469:TMK786471 TMI786591:TMK786593 TMI852005:TMK852007 TMI852127:TMK852129 TMI917541:TMK917543 TMI917663:TMK917665 TMI983077:TMK983079 TMI983199:TMK983201 TWE37:TWG39 TWE159:TWG161 TWE65573:TWG65575 TWE65695:TWG65697 TWE131109:TWG131111 TWE131231:TWG131233 TWE196645:TWG196647 TWE196767:TWG196769 TWE262181:TWG262183 TWE262303:TWG262305 TWE327717:TWG327719 TWE327839:TWG327841 TWE393253:TWG393255 TWE393375:TWG393377 TWE458789:TWG458791 TWE458911:TWG458913 TWE524325:TWG524327 TWE524447:TWG524449 TWE589861:TWG589863 TWE589983:TWG589985 TWE655397:TWG655399 TWE655519:TWG655521 TWE720933:TWG720935 TWE721055:TWG721057 TWE786469:TWG786471 TWE786591:TWG786593 TWE852005:TWG852007 TWE852127:TWG852129 TWE917541:TWG917543 TWE917663:TWG917665 TWE983077:TWG983079 TWE983199:TWG983201 UGA37:UGC39 UGA159:UGC161 UGA65573:UGC65575 UGA65695:UGC65697 UGA131109:UGC131111 UGA131231:UGC131233 UGA196645:UGC196647 UGA196767:UGC196769 UGA262181:UGC262183 UGA262303:UGC262305 UGA327717:UGC327719 UGA327839:UGC327841 UGA393253:UGC393255 UGA393375:UGC393377 UGA458789:UGC458791 UGA458911:UGC458913 UGA524325:UGC524327 UGA524447:UGC524449 UGA589861:UGC589863 UGA589983:UGC589985 UGA655397:UGC655399 UGA655519:UGC655521 UGA720933:UGC720935 UGA721055:UGC721057 UGA786469:UGC786471 UGA786591:UGC786593 UGA852005:UGC852007 UGA852127:UGC852129 UGA917541:UGC917543 UGA917663:UGC917665 UGA983077:UGC983079 UGA983199:UGC983201 UPW37:UPY39 UPW159:UPY161 UPW65573:UPY65575 UPW65695:UPY65697 UPW131109:UPY131111 UPW131231:UPY131233 UPW196645:UPY196647 UPW196767:UPY196769 UPW262181:UPY262183 UPW262303:UPY262305 UPW327717:UPY327719 UPW327839:UPY327841 UPW393253:UPY393255 UPW393375:UPY393377 UPW458789:UPY458791 UPW458911:UPY458913 UPW524325:UPY524327 UPW524447:UPY524449 UPW589861:UPY589863 UPW589983:UPY589985 UPW655397:UPY655399 UPW655519:UPY655521 UPW720933:UPY720935 UPW721055:UPY721057 UPW786469:UPY786471 UPW786591:UPY786593 UPW852005:UPY852007 UPW852127:UPY852129 UPW917541:UPY917543 UPW917663:UPY917665 UPW983077:UPY983079 UPW983199:UPY983201 UZS37:UZU39 UZS159:UZU161 UZS65573:UZU65575 UZS65695:UZU65697 UZS131109:UZU131111 UZS131231:UZU131233 UZS196645:UZU196647 UZS196767:UZU196769 UZS262181:UZU262183 UZS262303:UZU262305 UZS327717:UZU327719 UZS327839:UZU327841 UZS393253:UZU393255 UZS393375:UZU393377 UZS458789:UZU458791 UZS458911:UZU458913 UZS524325:UZU524327 UZS524447:UZU524449 UZS589861:UZU589863 UZS589983:UZU589985 UZS655397:UZU655399 UZS655519:UZU655521 UZS720933:UZU720935 UZS721055:UZU721057 UZS786469:UZU786471 UZS786591:UZU786593 UZS852005:UZU852007 UZS852127:UZU852129 UZS917541:UZU917543 UZS917663:UZU917665 UZS983077:UZU983079 UZS983199:UZU983201 VJO37:VJQ39 VJO159:VJQ161 VJO65573:VJQ65575 VJO65695:VJQ65697 VJO131109:VJQ131111 VJO131231:VJQ131233 VJO196645:VJQ196647 VJO196767:VJQ196769 VJO262181:VJQ262183 VJO262303:VJQ262305 VJO327717:VJQ327719 VJO327839:VJQ327841 VJO393253:VJQ393255 VJO393375:VJQ393377 VJO458789:VJQ458791 VJO458911:VJQ458913 VJO524325:VJQ524327 VJO524447:VJQ524449 VJO589861:VJQ589863 VJO589983:VJQ589985 VJO655397:VJQ655399 VJO655519:VJQ655521 VJO720933:VJQ720935 VJO721055:VJQ721057 VJO786469:VJQ786471 VJO786591:VJQ786593 VJO852005:VJQ852007 VJO852127:VJQ852129 VJO917541:VJQ917543 VJO917663:VJQ917665 VJO983077:VJQ983079 VJO983199:VJQ983201 VTK37:VTM39 VTK159:VTM161 VTK65573:VTM65575 VTK65695:VTM65697 VTK131109:VTM131111 VTK131231:VTM131233 VTK196645:VTM196647 VTK196767:VTM196769 VTK262181:VTM262183 VTK262303:VTM262305 VTK327717:VTM327719 VTK327839:VTM327841 VTK393253:VTM393255 VTK393375:VTM393377 VTK458789:VTM458791 VTK458911:VTM458913 VTK524325:VTM524327 VTK524447:VTM524449 VTK589861:VTM589863 VTK589983:VTM589985 VTK655397:VTM655399 VTK655519:VTM655521 VTK720933:VTM720935 VTK721055:VTM721057 VTK786469:VTM786471 VTK786591:VTM786593 VTK852005:VTM852007 VTK852127:VTM852129 VTK917541:VTM917543 VTK917663:VTM917665 VTK983077:VTM983079 VTK983199:VTM983201 WDG37:WDI39 WDG159:WDI161 WDG65573:WDI65575 WDG65695:WDI65697 WDG131109:WDI131111 WDG131231:WDI131233 WDG196645:WDI196647 WDG196767:WDI196769 WDG262181:WDI262183 WDG262303:WDI262305 WDG327717:WDI327719 WDG327839:WDI327841 WDG393253:WDI393255 WDG393375:WDI393377 WDG458789:WDI458791 WDG458911:WDI458913 WDG524325:WDI524327 WDG524447:WDI524449 WDG589861:WDI589863 WDG589983:WDI589985 WDG655397:WDI655399 WDG655519:WDI655521 WDG720933:WDI720935 WDG721055:WDI721057 WDG786469:WDI786471 WDG786591:WDI786593 WDG852005:WDI852007 WDG852127:WDI852129 WDG917541:WDI917543 WDG917663:WDI917665 WDG983077:WDI983079 WDG983199:WDI983201 WNC37:WNE39 WNC159:WNE161 WNC65573:WNE65575 WNC65695:WNE65697 WNC131109:WNE131111 WNC131231:WNE131233 WNC196645:WNE196647 WNC196767:WNE196769 WNC262181:WNE262183 WNC262303:WNE262305 WNC327717:WNE327719 WNC327839:WNE327841 WNC393253:WNE393255 WNC393375:WNE393377 WNC458789:WNE458791 WNC458911:WNE458913 WNC524325:WNE524327 WNC524447:WNE524449 WNC589861:WNE589863 WNC589983:WNE589985 WNC655397:WNE655399 WNC655519:WNE655521 WNC720933:WNE720935 WNC721055:WNE721057 WNC786469:WNE786471 WNC786591:WNE786593 WNC852005:WNE852007 WNC852127:WNE852129 WNC917541:WNE917543 WNC917663:WNE917665 WNC983077:WNE983079 WNC983199:WNE983201 WWY37:WXA39 WWY159:WXA161 WWY65573:WXA65575 WWY65695:WXA65697 WWY131109:WXA131111 WWY131231:WXA131233 WWY196645:WXA196647 WWY196767:WXA196769 WWY262181:WXA262183 WWY262303:WXA262305 WWY327717:WXA327719 WWY327839:WXA327841 WWY393253:WXA393255 WWY393375:WXA393377 WWY458789:WXA458791 WWY458911:WXA458913 WWY524325:WXA524327 WWY524447:WXA524449 WWY589861:WXA589863 WWY589983:WXA589985 WWY655397:WXA655399 WWY655519:WXA655521 WWY720933:WXA720935 WWY721055:WXA721057 WWY786469:WXA786471 WWY786591:WXA786593 WWY852005:WXA852007 WWY852127:WXA852129 WWY917541:WXA917543 WWY917663:WXA917665 WWY983077:WXA983079 WWY983199:WXA983201">
      <formula1>"登－,届－"</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"〇,"</xm:f>
          </x14:formula1>
          <xm:sqref>BB107:BC111 KX107:KY111 UT107:UU111 AEP107:AEQ111 AOL107:AOM111 AYH107:AYI111 BID107:BIE111 BRZ107:BSA111 CBV107:CBW111 CLR107:CLS111 CVN107:CVO111 DFJ107:DFK111 DPF107:DPG111 DZB107:DZC111 EIX107:EIY111 EST107:ESU111 FCP107:FCQ111 FML107:FMM111 FWH107:FWI111 GGD107:GGE111 GPZ107:GQA111 GZV107:GZW111 HJR107:HJS111 HTN107:HTO111 IDJ107:IDK111 INF107:ING111 IXB107:IXC111 JGX107:JGY111 JQT107:JQU111 KAP107:KAQ111 KKL107:KKM111 KUH107:KUI111 LED107:LEE111 LNZ107:LOA111 LXV107:LXW111 MHR107:MHS111 MRN107:MRO111 NBJ107:NBK111 NLF107:NLG111 NVB107:NVC111 OEX107:OEY111 OOT107:OOU111 OYP107:OYQ111 PIL107:PIM111 PSH107:PSI111 QCD107:QCE111 QLZ107:QMA111 QVV107:QVW111 RFR107:RFS111 RPN107:RPO111 RZJ107:RZK111 SJF107:SJG111 STB107:STC111 TCX107:TCY111 TMT107:TMU111 TWP107:TWQ111 UGL107:UGM111 UQH107:UQI111 VAD107:VAE111 VJZ107:VKA111 VTV107:VTW111 WDR107:WDS111 WNN107:WNO111 WXJ107:WXK111 BB65643:BC65647 KX65643:KY65647 UT65643:UU65647 AEP65643:AEQ65647 AOL65643:AOM65647 AYH65643:AYI65647 BID65643:BIE65647 BRZ65643:BSA65647 CBV65643:CBW65647 CLR65643:CLS65647 CVN65643:CVO65647 DFJ65643:DFK65647 DPF65643:DPG65647 DZB65643:DZC65647 EIX65643:EIY65647 EST65643:ESU65647 FCP65643:FCQ65647 FML65643:FMM65647 FWH65643:FWI65647 GGD65643:GGE65647 GPZ65643:GQA65647 GZV65643:GZW65647 HJR65643:HJS65647 HTN65643:HTO65647 IDJ65643:IDK65647 INF65643:ING65647 IXB65643:IXC65647 JGX65643:JGY65647 JQT65643:JQU65647 KAP65643:KAQ65647 KKL65643:KKM65647 KUH65643:KUI65647 LED65643:LEE65647 LNZ65643:LOA65647 LXV65643:LXW65647 MHR65643:MHS65647 MRN65643:MRO65647 NBJ65643:NBK65647 NLF65643:NLG65647 NVB65643:NVC65647 OEX65643:OEY65647 OOT65643:OOU65647 OYP65643:OYQ65647 PIL65643:PIM65647 PSH65643:PSI65647 QCD65643:QCE65647 QLZ65643:QMA65647 QVV65643:QVW65647 RFR65643:RFS65647 RPN65643:RPO65647 RZJ65643:RZK65647 SJF65643:SJG65647 STB65643:STC65647 TCX65643:TCY65647 TMT65643:TMU65647 TWP65643:TWQ65647 UGL65643:UGM65647 UQH65643:UQI65647 VAD65643:VAE65647 VJZ65643:VKA65647 VTV65643:VTW65647 WDR65643:WDS65647 WNN65643:WNO65647 WXJ65643:WXK65647 BB131179:BC131183 KX131179:KY131183 UT131179:UU131183 AEP131179:AEQ131183 AOL131179:AOM131183 AYH131179:AYI131183 BID131179:BIE131183 BRZ131179:BSA131183 CBV131179:CBW131183 CLR131179:CLS131183 CVN131179:CVO131183 DFJ131179:DFK131183 DPF131179:DPG131183 DZB131179:DZC131183 EIX131179:EIY131183 EST131179:ESU131183 FCP131179:FCQ131183 FML131179:FMM131183 FWH131179:FWI131183 GGD131179:GGE131183 GPZ131179:GQA131183 GZV131179:GZW131183 HJR131179:HJS131183 HTN131179:HTO131183 IDJ131179:IDK131183 INF131179:ING131183 IXB131179:IXC131183 JGX131179:JGY131183 JQT131179:JQU131183 KAP131179:KAQ131183 KKL131179:KKM131183 KUH131179:KUI131183 LED131179:LEE131183 LNZ131179:LOA131183 LXV131179:LXW131183 MHR131179:MHS131183 MRN131179:MRO131183 NBJ131179:NBK131183 NLF131179:NLG131183 NVB131179:NVC131183 OEX131179:OEY131183 OOT131179:OOU131183 OYP131179:OYQ131183 PIL131179:PIM131183 PSH131179:PSI131183 QCD131179:QCE131183 QLZ131179:QMA131183 QVV131179:QVW131183 RFR131179:RFS131183 RPN131179:RPO131183 RZJ131179:RZK131183 SJF131179:SJG131183 STB131179:STC131183 TCX131179:TCY131183 TMT131179:TMU131183 TWP131179:TWQ131183 UGL131179:UGM131183 UQH131179:UQI131183 VAD131179:VAE131183 VJZ131179:VKA131183 VTV131179:VTW131183 WDR131179:WDS131183 WNN131179:WNO131183 WXJ131179:WXK131183 BB196715:BC196719 KX196715:KY196719 UT196715:UU196719 AEP196715:AEQ196719 AOL196715:AOM196719 AYH196715:AYI196719 BID196715:BIE196719 BRZ196715:BSA196719 CBV196715:CBW196719 CLR196715:CLS196719 CVN196715:CVO196719 DFJ196715:DFK196719 DPF196715:DPG196719 DZB196715:DZC196719 EIX196715:EIY196719 EST196715:ESU196719 FCP196715:FCQ196719 FML196715:FMM196719 FWH196715:FWI196719 GGD196715:GGE196719 GPZ196715:GQA196719 GZV196715:GZW196719 HJR196715:HJS196719 HTN196715:HTO196719 IDJ196715:IDK196719 INF196715:ING196719 IXB196715:IXC196719 JGX196715:JGY196719 JQT196715:JQU196719 KAP196715:KAQ196719 KKL196715:KKM196719 KUH196715:KUI196719 LED196715:LEE196719 LNZ196715:LOA196719 LXV196715:LXW196719 MHR196715:MHS196719 MRN196715:MRO196719 NBJ196715:NBK196719 NLF196715:NLG196719 NVB196715:NVC196719 OEX196715:OEY196719 OOT196715:OOU196719 OYP196715:OYQ196719 PIL196715:PIM196719 PSH196715:PSI196719 QCD196715:QCE196719 QLZ196715:QMA196719 QVV196715:QVW196719 RFR196715:RFS196719 RPN196715:RPO196719 RZJ196715:RZK196719 SJF196715:SJG196719 STB196715:STC196719 TCX196715:TCY196719 TMT196715:TMU196719 TWP196715:TWQ196719 UGL196715:UGM196719 UQH196715:UQI196719 VAD196715:VAE196719 VJZ196715:VKA196719 VTV196715:VTW196719 WDR196715:WDS196719 WNN196715:WNO196719 WXJ196715:WXK196719 BB262251:BC262255 KX262251:KY262255 UT262251:UU262255 AEP262251:AEQ262255 AOL262251:AOM262255 AYH262251:AYI262255 BID262251:BIE262255 BRZ262251:BSA262255 CBV262251:CBW262255 CLR262251:CLS262255 CVN262251:CVO262255 DFJ262251:DFK262255 DPF262251:DPG262255 DZB262251:DZC262255 EIX262251:EIY262255 EST262251:ESU262255 FCP262251:FCQ262255 FML262251:FMM262255 FWH262251:FWI262255 GGD262251:GGE262255 GPZ262251:GQA262255 GZV262251:GZW262255 HJR262251:HJS262255 HTN262251:HTO262255 IDJ262251:IDK262255 INF262251:ING262255 IXB262251:IXC262255 JGX262251:JGY262255 JQT262251:JQU262255 KAP262251:KAQ262255 KKL262251:KKM262255 KUH262251:KUI262255 LED262251:LEE262255 LNZ262251:LOA262255 LXV262251:LXW262255 MHR262251:MHS262255 MRN262251:MRO262255 NBJ262251:NBK262255 NLF262251:NLG262255 NVB262251:NVC262255 OEX262251:OEY262255 OOT262251:OOU262255 OYP262251:OYQ262255 PIL262251:PIM262255 PSH262251:PSI262255 QCD262251:QCE262255 QLZ262251:QMA262255 QVV262251:QVW262255 RFR262251:RFS262255 RPN262251:RPO262255 RZJ262251:RZK262255 SJF262251:SJG262255 STB262251:STC262255 TCX262251:TCY262255 TMT262251:TMU262255 TWP262251:TWQ262255 UGL262251:UGM262255 UQH262251:UQI262255 VAD262251:VAE262255 VJZ262251:VKA262255 VTV262251:VTW262255 WDR262251:WDS262255 WNN262251:WNO262255 WXJ262251:WXK262255 BB327787:BC327791 KX327787:KY327791 UT327787:UU327791 AEP327787:AEQ327791 AOL327787:AOM327791 AYH327787:AYI327791 BID327787:BIE327791 BRZ327787:BSA327791 CBV327787:CBW327791 CLR327787:CLS327791 CVN327787:CVO327791 DFJ327787:DFK327791 DPF327787:DPG327791 DZB327787:DZC327791 EIX327787:EIY327791 EST327787:ESU327791 FCP327787:FCQ327791 FML327787:FMM327791 FWH327787:FWI327791 GGD327787:GGE327791 GPZ327787:GQA327791 GZV327787:GZW327791 HJR327787:HJS327791 HTN327787:HTO327791 IDJ327787:IDK327791 INF327787:ING327791 IXB327787:IXC327791 JGX327787:JGY327791 JQT327787:JQU327791 KAP327787:KAQ327791 KKL327787:KKM327791 KUH327787:KUI327791 LED327787:LEE327791 LNZ327787:LOA327791 LXV327787:LXW327791 MHR327787:MHS327791 MRN327787:MRO327791 NBJ327787:NBK327791 NLF327787:NLG327791 NVB327787:NVC327791 OEX327787:OEY327791 OOT327787:OOU327791 OYP327787:OYQ327791 PIL327787:PIM327791 PSH327787:PSI327791 QCD327787:QCE327791 QLZ327787:QMA327791 QVV327787:QVW327791 RFR327787:RFS327791 RPN327787:RPO327791 RZJ327787:RZK327791 SJF327787:SJG327791 STB327787:STC327791 TCX327787:TCY327791 TMT327787:TMU327791 TWP327787:TWQ327791 UGL327787:UGM327791 UQH327787:UQI327791 VAD327787:VAE327791 VJZ327787:VKA327791 VTV327787:VTW327791 WDR327787:WDS327791 WNN327787:WNO327791 WXJ327787:WXK327791 BB393323:BC393327 KX393323:KY393327 UT393323:UU393327 AEP393323:AEQ393327 AOL393323:AOM393327 AYH393323:AYI393327 BID393323:BIE393327 BRZ393323:BSA393327 CBV393323:CBW393327 CLR393323:CLS393327 CVN393323:CVO393327 DFJ393323:DFK393327 DPF393323:DPG393327 DZB393323:DZC393327 EIX393323:EIY393327 EST393323:ESU393327 FCP393323:FCQ393327 FML393323:FMM393327 FWH393323:FWI393327 GGD393323:GGE393327 GPZ393323:GQA393327 GZV393323:GZW393327 HJR393323:HJS393327 HTN393323:HTO393327 IDJ393323:IDK393327 INF393323:ING393327 IXB393323:IXC393327 JGX393323:JGY393327 JQT393323:JQU393327 KAP393323:KAQ393327 KKL393323:KKM393327 KUH393323:KUI393327 LED393323:LEE393327 LNZ393323:LOA393327 LXV393323:LXW393327 MHR393323:MHS393327 MRN393323:MRO393327 NBJ393323:NBK393327 NLF393323:NLG393327 NVB393323:NVC393327 OEX393323:OEY393327 OOT393323:OOU393327 OYP393323:OYQ393327 PIL393323:PIM393327 PSH393323:PSI393327 QCD393323:QCE393327 QLZ393323:QMA393327 QVV393323:QVW393327 RFR393323:RFS393327 RPN393323:RPO393327 RZJ393323:RZK393327 SJF393323:SJG393327 STB393323:STC393327 TCX393323:TCY393327 TMT393323:TMU393327 TWP393323:TWQ393327 UGL393323:UGM393327 UQH393323:UQI393327 VAD393323:VAE393327 VJZ393323:VKA393327 VTV393323:VTW393327 WDR393323:WDS393327 WNN393323:WNO393327 WXJ393323:WXK393327 BB458859:BC458863 KX458859:KY458863 UT458859:UU458863 AEP458859:AEQ458863 AOL458859:AOM458863 AYH458859:AYI458863 BID458859:BIE458863 BRZ458859:BSA458863 CBV458859:CBW458863 CLR458859:CLS458863 CVN458859:CVO458863 DFJ458859:DFK458863 DPF458859:DPG458863 DZB458859:DZC458863 EIX458859:EIY458863 EST458859:ESU458863 FCP458859:FCQ458863 FML458859:FMM458863 FWH458859:FWI458863 GGD458859:GGE458863 GPZ458859:GQA458863 GZV458859:GZW458863 HJR458859:HJS458863 HTN458859:HTO458863 IDJ458859:IDK458863 INF458859:ING458863 IXB458859:IXC458863 JGX458859:JGY458863 JQT458859:JQU458863 KAP458859:KAQ458863 KKL458859:KKM458863 KUH458859:KUI458863 LED458859:LEE458863 LNZ458859:LOA458863 LXV458859:LXW458863 MHR458859:MHS458863 MRN458859:MRO458863 NBJ458859:NBK458863 NLF458859:NLG458863 NVB458859:NVC458863 OEX458859:OEY458863 OOT458859:OOU458863 OYP458859:OYQ458863 PIL458859:PIM458863 PSH458859:PSI458863 QCD458859:QCE458863 QLZ458859:QMA458863 QVV458859:QVW458863 RFR458859:RFS458863 RPN458859:RPO458863 RZJ458859:RZK458863 SJF458859:SJG458863 STB458859:STC458863 TCX458859:TCY458863 TMT458859:TMU458863 TWP458859:TWQ458863 UGL458859:UGM458863 UQH458859:UQI458863 VAD458859:VAE458863 VJZ458859:VKA458863 VTV458859:VTW458863 WDR458859:WDS458863 WNN458859:WNO458863 WXJ458859:WXK458863 BB524395:BC524399 KX524395:KY524399 UT524395:UU524399 AEP524395:AEQ524399 AOL524395:AOM524399 AYH524395:AYI524399 BID524395:BIE524399 BRZ524395:BSA524399 CBV524395:CBW524399 CLR524395:CLS524399 CVN524395:CVO524399 DFJ524395:DFK524399 DPF524395:DPG524399 DZB524395:DZC524399 EIX524395:EIY524399 EST524395:ESU524399 FCP524395:FCQ524399 FML524395:FMM524399 FWH524395:FWI524399 GGD524395:GGE524399 GPZ524395:GQA524399 GZV524395:GZW524399 HJR524395:HJS524399 HTN524395:HTO524399 IDJ524395:IDK524399 INF524395:ING524399 IXB524395:IXC524399 JGX524395:JGY524399 JQT524395:JQU524399 KAP524395:KAQ524399 KKL524395:KKM524399 KUH524395:KUI524399 LED524395:LEE524399 LNZ524395:LOA524399 LXV524395:LXW524399 MHR524395:MHS524399 MRN524395:MRO524399 NBJ524395:NBK524399 NLF524395:NLG524399 NVB524395:NVC524399 OEX524395:OEY524399 OOT524395:OOU524399 OYP524395:OYQ524399 PIL524395:PIM524399 PSH524395:PSI524399 QCD524395:QCE524399 QLZ524395:QMA524399 QVV524395:QVW524399 RFR524395:RFS524399 RPN524395:RPO524399 RZJ524395:RZK524399 SJF524395:SJG524399 STB524395:STC524399 TCX524395:TCY524399 TMT524395:TMU524399 TWP524395:TWQ524399 UGL524395:UGM524399 UQH524395:UQI524399 VAD524395:VAE524399 VJZ524395:VKA524399 VTV524395:VTW524399 WDR524395:WDS524399 WNN524395:WNO524399 WXJ524395:WXK524399 BB589931:BC589935 KX589931:KY589935 UT589931:UU589935 AEP589931:AEQ589935 AOL589931:AOM589935 AYH589931:AYI589935 BID589931:BIE589935 BRZ589931:BSA589935 CBV589931:CBW589935 CLR589931:CLS589935 CVN589931:CVO589935 DFJ589931:DFK589935 DPF589931:DPG589935 DZB589931:DZC589935 EIX589931:EIY589935 EST589931:ESU589935 FCP589931:FCQ589935 FML589931:FMM589935 FWH589931:FWI589935 GGD589931:GGE589935 GPZ589931:GQA589935 GZV589931:GZW589935 HJR589931:HJS589935 HTN589931:HTO589935 IDJ589931:IDK589935 INF589931:ING589935 IXB589931:IXC589935 JGX589931:JGY589935 JQT589931:JQU589935 KAP589931:KAQ589935 KKL589931:KKM589935 KUH589931:KUI589935 LED589931:LEE589935 LNZ589931:LOA589935 LXV589931:LXW589935 MHR589931:MHS589935 MRN589931:MRO589935 NBJ589931:NBK589935 NLF589931:NLG589935 NVB589931:NVC589935 OEX589931:OEY589935 OOT589931:OOU589935 OYP589931:OYQ589935 PIL589931:PIM589935 PSH589931:PSI589935 QCD589931:QCE589935 QLZ589931:QMA589935 QVV589931:QVW589935 RFR589931:RFS589935 RPN589931:RPO589935 RZJ589931:RZK589935 SJF589931:SJG589935 STB589931:STC589935 TCX589931:TCY589935 TMT589931:TMU589935 TWP589931:TWQ589935 UGL589931:UGM589935 UQH589931:UQI589935 VAD589931:VAE589935 VJZ589931:VKA589935 VTV589931:VTW589935 WDR589931:WDS589935 WNN589931:WNO589935 WXJ589931:WXK589935 BB655467:BC655471 KX655467:KY655471 UT655467:UU655471 AEP655467:AEQ655471 AOL655467:AOM655471 AYH655467:AYI655471 BID655467:BIE655471 BRZ655467:BSA655471 CBV655467:CBW655471 CLR655467:CLS655471 CVN655467:CVO655471 DFJ655467:DFK655471 DPF655467:DPG655471 DZB655467:DZC655471 EIX655467:EIY655471 EST655467:ESU655471 FCP655467:FCQ655471 FML655467:FMM655471 FWH655467:FWI655471 GGD655467:GGE655471 GPZ655467:GQA655471 GZV655467:GZW655471 HJR655467:HJS655471 HTN655467:HTO655471 IDJ655467:IDK655471 INF655467:ING655471 IXB655467:IXC655471 JGX655467:JGY655471 JQT655467:JQU655471 KAP655467:KAQ655471 KKL655467:KKM655471 KUH655467:KUI655471 LED655467:LEE655471 LNZ655467:LOA655471 LXV655467:LXW655471 MHR655467:MHS655471 MRN655467:MRO655471 NBJ655467:NBK655471 NLF655467:NLG655471 NVB655467:NVC655471 OEX655467:OEY655471 OOT655467:OOU655471 OYP655467:OYQ655471 PIL655467:PIM655471 PSH655467:PSI655471 QCD655467:QCE655471 QLZ655467:QMA655471 QVV655467:QVW655471 RFR655467:RFS655471 RPN655467:RPO655471 RZJ655467:RZK655471 SJF655467:SJG655471 STB655467:STC655471 TCX655467:TCY655471 TMT655467:TMU655471 TWP655467:TWQ655471 UGL655467:UGM655471 UQH655467:UQI655471 VAD655467:VAE655471 VJZ655467:VKA655471 VTV655467:VTW655471 WDR655467:WDS655471 WNN655467:WNO655471 WXJ655467:WXK655471 BB721003:BC721007 KX721003:KY721007 UT721003:UU721007 AEP721003:AEQ721007 AOL721003:AOM721007 AYH721003:AYI721007 BID721003:BIE721007 BRZ721003:BSA721007 CBV721003:CBW721007 CLR721003:CLS721007 CVN721003:CVO721007 DFJ721003:DFK721007 DPF721003:DPG721007 DZB721003:DZC721007 EIX721003:EIY721007 EST721003:ESU721007 FCP721003:FCQ721007 FML721003:FMM721007 FWH721003:FWI721007 GGD721003:GGE721007 GPZ721003:GQA721007 GZV721003:GZW721007 HJR721003:HJS721007 HTN721003:HTO721007 IDJ721003:IDK721007 INF721003:ING721007 IXB721003:IXC721007 JGX721003:JGY721007 JQT721003:JQU721007 KAP721003:KAQ721007 KKL721003:KKM721007 KUH721003:KUI721007 LED721003:LEE721007 LNZ721003:LOA721007 LXV721003:LXW721007 MHR721003:MHS721007 MRN721003:MRO721007 NBJ721003:NBK721007 NLF721003:NLG721007 NVB721003:NVC721007 OEX721003:OEY721007 OOT721003:OOU721007 OYP721003:OYQ721007 PIL721003:PIM721007 PSH721003:PSI721007 QCD721003:QCE721007 QLZ721003:QMA721007 QVV721003:QVW721007 RFR721003:RFS721007 RPN721003:RPO721007 RZJ721003:RZK721007 SJF721003:SJG721007 STB721003:STC721007 TCX721003:TCY721007 TMT721003:TMU721007 TWP721003:TWQ721007 UGL721003:UGM721007 UQH721003:UQI721007 VAD721003:VAE721007 VJZ721003:VKA721007 VTV721003:VTW721007 WDR721003:WDS721007 WNN721003:WNO721007 WXJ721003:WXK721007 BB786539:BC786543 KX786539:KY786543 UT786539:UU786543 AEP786539:AEQ786543 AOL786539:AOM786543 AYH786539:AYI786543 BID786539:BIE786543 BRZ786539:BSA786543 CBV786539:CBW786543 CLR786539:CLS786543 CVN786539:CVO786543 DFJ786539:DFK786543 DPF786539:DPG786543 DZB786539:DZC786543 EIX786539:EIY786543 EST786539:ESU786543 FCP786539:FCQ786543 FML786539:FMM786543 FWH786539:FWI786543 GGD786539:GGE786543 GPZ786539:GQA786543 GZV786539:GZW786543 HJR786539:HJS786543 HTN786539:HTO786543 IDJ786539:IDK786543 INF786539:ING786543 IXB786539:IXC786543 JGX786539:JGY786543 JQT786539:JQU786543 KAP786539:KAQ786543 KKL786539:KKM786543 KUH786539:KUI786543 LED786539:LEE786543 LNZ786539:LOA786543 LXV786539:LXW786543 MHR786539:MHS786543 MRN786539:MRO786543 NBJ786539:NBK786543 NLF786539:NLG786543 NVB786539:NVC786543 OEX786539:OEY786543 OOT786539:OOU786543 OYP786539:OYQ786543 PIL786539:PIM786543 PSH786539:PSI786543 QCD786539:QCE786543 QLZ786539:QMA786543 QVV786539:QVW786543 RFR786539:RFS786543 RPN786539:RPO786543 RZJ786539:RZK786543 SJF786539:SJG786543 STB786539:STC786543 TCX786539:TCY786543 TMT786539:TMU786543 TWP786539:TWQ786543 UGL786539:UGM786543 UQH786539:UQI786543 VAD786539:VAE786543 VJZ786539:VKA786543 VTV786539:VTW786543 WDR786539:WDS786543 WNN786539:WNO786543 WXJ786539:WXK786543 BB852075:BC852079 KX852075:KY852079 UT852075:UU852079 AEP852075:AEQ852079 AOL852075:AOM852079 AYH852075:AYI852079 BID852075:BIE852079 BRZ852075:BSA852079 CBV852075:CBW852079 CLR852075:CLS852079 CVN852075:CVO852079 DFJ852075:DFK852079 DPF852075:DPG852079 DZB852075:DZC852079 EIX852075:EIY852079 EST852075:ESU852079 FCP852075:FCQ852079 FML852075:FMM852079 FWH852075:FWI852079 GGD852075:GGE852079 GPZ852075:GQA852079 GZV852075:GZW852079 HJR852075:HJS852079 HTN852075:HTO852079 IDJ852075:IDK852079 INF852075:ING852079 IXB852075:IXC852079 JGX852075:JGY852079 JQT852075:JQU852079 KAP852075:KAQ852079 KKL852075:KKM852079 KUH852075:KUI852079 LED852075:LEE852079 LNZ852075:LOA852079 LXV852075:LXW852079 MHR852075:MHS852079 MRN852075:MRO852079 NBJ852075:NBK852079 NLF852075:NLG852079 NVB852075:NVC852079 OEX852075:OEY852079 OOT852075:OOU852079 OYP852075:OYQ852079 PIL852075:PIM852079 PSH852075:PSI852079 QCD852075:QCE852079 QLZ852075:QMA852079 QVV852075:QVW852079 RFR852075:RFS852079 RPN852075:RPO852079 RZJ852075:RZK852079 SJF852075:SJG852079 STB852075:STC852079 TCX852075:TCY852079 TMT852075:TMU852079 TWP852075:TWQ852079 UGL852075:UGM852079 UQH852075:UQI852079 VAD852075:VAE852079 VJZ852075:VKA852079 VTV852075:VTW852079 WDR852075:WDS852079 WNN852075:WNO852079 WXJ852075:WXK852079 BB917611:BC917615 KX917611:KY917615 UT917611:UU917615 AEP917611:AEQ917615 AOL917611:AOM917615 AYH917611:AYI917615 BID917611:BIE917615 BRZ917611:BSA917615 CBV917611:CBW917615 CLR917611:CLS917615 CVN917611:CVO917615 DFJ917611:DFK917615 DPF917611:DPG917615 DZB917611:DZC917615 EIX917611:EIY917615 EST917611:ESU917615 FCP917611:FCQ917615 FML917611:FMM917615 FWH917611:FWI917615 GGD917611:GGE917615 GPZ917611:GQA917615 GZV917611:GZW917615 HJR917611:HJS917615 HTN917611:HTO917615 IDJ917611:IDK917615 INF917611:ING917615 IXB917611:IXC917615 JGX917611:JGY917615 JQT917611:JQU917615 KAP917611:KAQ917615 KKL917611:KKM917615 KUH917611:KUI917615 LED917611:LEE917615 LNZ917611:LOA917615 LXV917611:LXW917615 MHR917611:MHS917615 MRN917611:MRO917615 NBJ917611:NBK917615 NLF917611:NLG917615 NVB917611:NVC917615 OEX917611:OEY917615 OOT917611:OOU917615 OYP917611:OYQ917615 PIL917611:PIM917615 PSH917611:PSI917615 QCD917611:QCE917615 QLZ917611:QMA917615 QVV917611:QVW917615 RFR917611:RFS917615 RPN917611:RPO917615 RZJ917611:RZK917615 SJF917611:SJG917615 STB917611:STC917615 TCX917611:TCY917615 TMT917611:TMU917615 TWP917611:TWQ917615 UGL917611:UGM917615 UQH917611:UQI917615 VAD917611:VAE917615 VJZ917611:VKA917615 VTV917611:VTW917615 WDR917611:WDS917615 WNN917611:WNO917615 WXJ917611:WXK917615 BB983147:BC983151 KX983147:KY983151 UT983147:UU983151 AEP983147:AEQ983151 AOL983147:AOM983151 AYH983147:AYI983151 BID983147:BIE983151 BRZ983147:BSA983151 CBV983147:CBW983151 CLR983147:CLS983151 CVN983147:CVO983151 DFJ983147:DFK983151 DPF983147:DPG983151 DZB983147:DZC983151 EIX983147:EIY983151 EST983147:ESU983151 FCP983147:FCQ983151 FML983147:FMM983151 FWH983147:FWI983151 GGD983147:GGE983151 GPZ983147:GQA983151 GZV983147:GZW983151 HJR983147:HJS983151 HTN983147:HTO983151 IDJ983147:IDK983151 INF983147:ING983151 IXB983147:IXC983151 JGX983147:JGY983151 JQT983147:JQU983151 KAP983147:KAQ983151 KKL983147:KKM983151 KUH983147:KUI983151 LED983147:LEE983151 LNZ983147:LOA983151 LXV983147:LXW983151 MHR983147:MHS983151 MRN983147:MRO983151 NBJ983147:NBK983151 NLF983147:NLG983151 NVB983147:NVC983151 OEX983147:OEY983151 OOT983147:OOU983151 OYP983147:OYQ983151 PIL983147:PIM983151 PSH983147:PSI983151 QCD983147:QCE983151 QLZ983147:QMA983151 QVV983147:QVW983151 RFR983147:RFS983151 RPN983147:RPO983151 RZJ983147:RZK983151 SJF983147:SJG983151 STB983147:STC983151 TCX983147:TCY983151 TMT983147:TMU983151 TWP983147:TWQ983151 UGL983147:UGM983151 UQH983147:UQI983151 VAD983147:VAE983151 VJZ983147:VKA983151 VTV983147:VTW983151 WDR983147:WDS983151 WNN983147:WNO983151 WXJ983147:WXK983151 T80 JP80 TL80 ADH80 AND80 AWZ80 BGV80 BQR80 CAN80 CKJ80 CUF80 DEB80 DNX80 DXT80 EHP80 ERL80 FBH80 FLD80 FUZ80 GEV80 GOR80 GYN80 HIJ80 HSF80 ICB80 ILX80 IVT80 JFP80 JPL80 JZH80 KJD80 KSZ80 LCV80 LMR80 LWN80 MGJ80 MQF80 NAB80 NJX80 NTT80 ODP80 ONL80 OXH80 PHD80 PQZ80 QAV80 QKR80 QUN80 REJ80 ROF80 RYB80 SHX80 SRT80 TBP80 TLL80 TVH80 UFD80 UOZ80 UYV80 VIR80 VSN80 WCJ80 WMF80 WWB80 T65616 JP65616 TL65616 ADH65616 AND65616 AWZ65616 BGV65616 BQR65616 CAN65616 CKJ65616 CUF65616 DEB65616 DNX65616 DXT65616 EHP65616 ERL65616 FBH65616 FLD65616 FUZ65616 GEV65616 GOR65616 GYN65616 HIJ65616 HSF65616 ICB65616 ILX65616 IVT65616 JFP65616 JPL65616 JZH65616 KJD65616 KSZ65616 LCV65616 LMR65616 LWN65616 MGJ65616 MQF65616 NAB65616 NJX65616 NTT65616 ODP65616 ONL65616 OXH65616 PHD65616 PQZ65616 QAV65616 QKR65616 QUN65616 REJ65616 ROF65616 RYB65616 SHX65616 SRT65616 TBP65616 TLL65616 TVH65616 UFD65616 UOZ65616 UYV65616 VIR65616 VSN65616 WCJ65616 WMF65616 WWB65616 T131152 JP131152 TL131152 ADH131152 AND131152 AWZ131152 BGV131152 BQR131152 CAN131152 CKJ131152 CUF131152 DEB131152 DNX131152 DXT131152 EHP131152 ERL131152 FBH131152 FLD131152 FUZ131152 GEV131152 GOR131152 GYN131152 HIJ131152 HSF131152 ICB131152 ILX131152 IVT131152 JFP131152 JPL131152 JZH131152 KJD131152 KSZ131152 LCV131152 LMR131152 LWN131152 MGJ131152 MQF131152 NAB131152 NJX131152 NTT131152 ODP131152 ONL131152 OXH131152 PHD131152 PQZ131152 QAV131152 QKR131152 QUN131152 REJ131152 ROF131152 RYB131152 SHX131152 SRT131152 TBP131152 TLL131152 TVH131152 UFD131152 UOZ131152 UYV131152 VIR131152 VSN131152 WCJ131152 WMF131152 WWB131152 T196688 JP196688 TL196688 ADH196688 AND196688 AWZ196688 BGV196688 BQR196688 CAN196688 CKJ196688 CUF196688 DEB196688 DNX196688 DXT196688 EHP196688 ERL196688 FBH196688 FLD196688 FUZ196688 GEV196688 GOR196688 GYN196688 HIJ196688 HSF196688 ICB196688 ILX196688 IVT196688 JFP196688 JPL196688 JZH196688 KJD196688 KSZ196688 LCV196688 LMR196688 LWN196688 MGJ196688 MQF196688 NAB196688 NJX196688 NTT196688 ODP196688 ONL196688 OXH196688 PHD196688 PQZ196688 QAV196688 QKR196688 QUN196688 REJ196688 ROF196688 RYB196688 SHX196688 SRT196688 TBP196688 TLL196688 TVH196688 UFD196688 UOZ196688 UYV196688 VIR196688 VSN196688 WCJ196688 WMF196688 WWB196688 T262224 JP262224 TL262224 ADH262224 AND262224 AWZ262224 BGV262224 BQR262224 CAN262224 CKJ262224 CUF262224 DEB262224 DNX262224 DXT262224 EHP262224 ERL262224 FBH262224 FLD262224 FUZ262224 GEV262224 GOR262224 GYN262224 HIJ262224 HSF262224 ICB262224 ILX262224 IVT262224 JFP262224 JPL262224 JZH262224 KJD262224 KSZ262224 LCV262224 LMR262224 LWN262224 MGJ262224 MQF262224 NAB262224 NJX262224 NTT262224 ODP262224 ONL262224 OXH262224 PHD262224 PQZ262224 QAV262224 QKR262224 QUN262224 REJ262224 ROF262224 RYB262224 SHX262224 SRT262224 TBP262224 TLL262224 TVH262224 UFD262224 UOZ262224 UYV262224 VIR262224 VSN262224 WCJ262224 WMF262224 WWB262224 T327760 JP327760 TL327760 ADH327760 AND327760 AWZ327760 BGV327760 BQR327760 CAN327760 CKJ327760 CUF327760 DEB327760 DNX327760 DXT327760 EHP327760 ERL327760 FBH327760 FLD327760 FUZ327760 GEV327760 GOR327760 GYN327760 HIJ327760 HSF327760 ICB327760 ILX327760 IVT327760 JFP327760 JPL327760 JZH327760 KJD327760 KSZ327760 LCV327760 LMR327760 LWN327760 MGJ327760 MQF327760 NAB327760 NJX327760 NTT327760 ODP327760 ONL327760 OXH327760 PHD327760 PQZ327760 QAV327760 QKR327760 QUN327760 REJ327760 ROF327760 RYB327760 SHX327760 SRT327760 TBP327760 TLL327760 TVH327760 UFD327760 UOZ327760 UYV327760 VIR327760 VSN327760 WCJ327760 WMF327760 WWB327760 T393296 JP393296 TL393296 ADH393296 AND393296 AWZ393296 BGV393296 BQR393296 CAN393296 CKJ393296 CUF393296 DEB393296 DNX393296 DXT393296 EHP393296 ERL393296 FBH393296 FLD393296 FUZ393296 GEV393296 GOR393296 GYN393296 HIJ393296 HSF393296 ICB393296 ILX393296 IVT393296 JFP393296 JPL393296 JZH393296 KJD393296 KSZ393296 LCV393296 LMR393296 LWN393296 MGJ393296 MQF393296 NAB393296 NJX393296 NTT393296 ODP393296 ONL393296 OXH393296 PHD393296 PQZ393296 QAV393296 QKR393296 QUN393296 REJ393296 ROF393296 RYB393296 SHX393296 SRT393296 TBP393296 TLL393296 TVH393296 UFD393296 UOZ393296 UYV393296 VIR393296 VSN393296 WCJ393296 WMF393296 WWB393296 T458832 JP458832 TL458832 ADH458832 AND458832 AWZ458832 BGV458832 BQR458832 CAN458832 CKJ458832 CUF458832 DEB458832 DNX458832 DXT458832 EHP458832 ERL458832 FBH458832 FLD458832 FUZ458832 GEV458832 GOR458832 GYN458832 HIJ458832 HSF458832 ICB458832 ILX458832 IVT458832 JFP458832 JPL458832 JZH458832 KJD458832 KSZ458832 LCV458832 LMR458832 LWN458832 MGJ458832 MQF458832 NAB458832 NJX458832 NTT458832 ODP458832 ONL458832 OXH458832 PHD458832 PQZ458832 QAV458832 QKR458832 QUN458832 REJ458832 ROF458832 RYB458832 SHX458832 SRT458832 TBP458832 TLL458832 TVH458832 UFD458832 UOZ458832 UYV458832 VIR458832 VSN458832 WCJ458832 WMF458832 WWB458832 T524368 JP524368 TL524368 ADH524368 AND524368 AWZ524368 BGV524368 BQR524368 CAN524368 CKJ524368 CUF524368 DEB524368 DNX524368 DXT524368 EHP524368 ERL524368 FBH524368 FLD524368 FUZ524368 GEV524368 GOR524368 GYN524368 HIJ524368 HSF524368 ICB524368 ILX524368 IVT524368 JFP524368 JPL524368 JZH524368 KJD524368 KSZ524368 LCV524368 LMR524368 LWN524368 MGJ524368 MQF524368 NAB524368 NJX524368 NTT524368 ODP524368 ONL524368 OXH524368 PHD524368 PQZ524368 QAV524368 QKR524368 QUN524368 REJ524368 ROF524368 RYB524368 SHX524368 SRT524368 TBP524368 TLL524368 TVH524368 UFD524368 UOZ524368 UYV524368 VIR524368 VSN524368 WCJ524368 WMF524368 WWB524368 T589904 JP589904 TL589904 ADH589904 AND589904 AWZ589904 BGV589904 BQR589904 CAN589904 CKJ589904 CUF589904 DEB589904 DNX589904 DXT589904 EHP589904 ERL589904 FBH589904 FLD589904 FUZ589904 GEV589904 GOR589904 GYN589904 HIJ589904 HSF589904 ICB589904 ILX589904 IVT589904 JFP589904 JPL589904 JZH589904 KJD589904 KSZ589904 LCV589904 LMR589904 LWN589904 MGJ589904 MQF589904 NAB589904 NJX589904 NTT589904 ODP589904 ONL589904 OXH589904 PHD589904 PQZ589904 QAV589904 QKR589904 QUN589904 REJ589904 ROF589904 RYB589904 SHX589904 SRT589904 TBP589904 TLL589904 TVH589904 UFD589904 UOZ589904 UYV589904 VIR589904 VSN589904 WCJ589904 WMF589904 WWB589904 T655440 JP655440 TL655440 ADH655440 AND655440 AWZ655440 BGV655440 BQR655440 CAN655440 CKJ655440 CUF655440 DEB655440 DNX655440 DXT655440 EHP655440 ERL655440 FBH655440 FLD655440 FUZ655440 GEV655440 GOR655440 GYN655440 HIJ655440 HSF655440 ICB655440 ILX655440 IVT655440 JFP655440 JPL655440 JZH655440 KJD655440 KSZ655440 LCV655440 LMR655440 LWN655440 MGJ655440 MQF655440 NAB655440 NJX655440 NTT655440 ODP655440 ONL655440 OXH655440 PHD655440 PQZ655440 QAV655440 QKR655440 QUN655440 REJ655440 ROF655440 RYB655440 SHX655440 SRT655440 TBP655440 TLL655440 TVH655440 UFD655440 UOZ655440 UYV655440 VIR655440 VSN655440 WCJ655440 WMF655440 WWB655440 T720976 JP720976 TL720976 ADH720976 AND720976 AWZ720976 BGV720976 BQR720976 CAN720976 CKJ720976 CUF720976 DEB720976 DNX720976 DXT720976 EHP720976 ERL720976 FBH720976 FLD720976 FUZ720976 GEV720976 GOR720976 GYN720976 HIJ720976 HSF720976 ICB720976 ILX720976 IVT720976 JFP720976 JPL720976 JZH720976 KJD720976 KSZ720976 LCV720976 LMR720976 LWN720976 MGJ720976 MQF720976 NAB720976 NJX720976 NTT720976 ODP720976 ONL720976 OXH720976 PHD720976 PQZ720976 QAV720976 QKR720976 QUN720976 REJ720976 ROF720976 RYB720976 SHX720976 SRT720976 TBP720976 TLL720976 TVH720976 UFD720976 UOZ720976 UYV720976 VIR720976 VSN720976 WCJ720976 WMF720976 WWB720976 T786512 JP786512 TL786512 ADH786512 AND786512 AWZ786512 BGV786512 BQR786512 CAN786512 CKJ786512 CUF786512 DEB786512 DNX786512 DXT786512 EHP786512 ERL786512 FBH786512 FLD786512 FUZ786512 GEV786512 GOR786512 GYN786512 HIJ786512 HSF786512 ICB786512 ILX786512 IVT786512 JFP786512 JPL786512 JZH786512 KJD786512 KSZ786512 LCV786512 LMR786512 LWN786512 MGJ786512 MQF786512 NAB786512 NJX786512 NTT786512 ODP786512 ONL786512 OXH786512 PHD786512 PQZ786512 QAV786512 QKR786512 QUN786512 REJ786512 ROF786512 RYB786512 SHX786512 SRT786512 TBP786512 TLL786512 TVH786512 UFD786512 UOZ786512 UYV786512 VIR786512 VSN786512 WCJ786512 WMF786512 WWB786512 T852048 JP852048 TL852048 ADH852048 AND852048 AWZ852048 BGV852048 BQR852048 CAN852048 CKJ852048 CUF852048 DEB852048 DNX852048 DXT852048 EHP852048 ERL852048 FBH852048 FLD852048 FUZ852048 GEV852048 GOR852048 GYN852048 HIJ852048 HSF852048 ICB852048 ILX852048 IVT852048 JFP852048 JPL852048 JZH852048 KJD852048 KSZ852048 LCV852048 LMR852048 LWN852048 MGJ852048 MQF852048 NAB852048 NJX852048 NTT852048 ODP852048 ONL852048 OXH852048 PHD852048 PQZ852048 QAV852048 QKR852048 QUN852048 REJ852048 ROF852048 RYB852048 SHX852048 SRT852048 TBP852048 TLL852048 TVH852048 UFD852048 UOZ852048 UYV852048 VIR852048 VSN852048 WCJ852048 WMF852048 WWB852048 T917584 JP917584 TL917584 ADH917584 AND917584 AWZ917584 BGV917584 BQR917584 CAN917584 CKJ917584 CUF917584 DEB917584 DNX917584 DXT917584 EHP917584 ERL917584 FBH917584 FLD917584 FUZ917584 GEV917584 GOR917584 GYN917584 HIJ917584 HSF917584 ICB917584 ILX917584 IVT917584 JFP917584 JPL917584 JZH917584 KJD917584 KSZ917584 LCV917584 LMR917584 LWN917584 MGJ917584 MQF917584 NAB917584 NJX917584 NTT917584 ODP917584 ONL917584 OXH917584 PHD917584 PQZ917584 QAV917584 QKR917584 QUN917584 REJ917584 ROF917584 RYB917584 SHX917584 SRT917584 TBP917584 TLL917584 TVH917584 UFD917584 UOZ917584 UYV917584 VIR917584 VSN917584 WCJ917584 WMF917584 WWB917584 T983120 JP983120 TL983120 ADH983120 AND983120 AWZ983120 BGV983120 BQR983120 CAN983120 CKJ983120 CUF983120 DEB983120 DNX983120 DXT983120 EHP983120 ERL983120 FBH983120 FLD983120 FUZ983120 GEV983120 GOR983120 GYN983120 HIJ983120 HSF983120 ICB983120 ILX983120 IVT983120 JFP983120 JPL983120 JZH983120 KJD983120 KSZ983120 LCV983120 LMR983120 LWN983120 MGJ983120 MQF983120 NAB983120 NJX983120 NTT983120 ODP983120 ONL983120 OXH983120 PHD983120 PQZ983120 QAV983120 QKR983120 QUN983120 REJ983120 ROF983120 RYB983120 SHX983120 SRT983120 TBP983120 TLL983120 TVH983120 UFD983120 UOZ983120 UYV983120 VIR983120 VSN983120 WCJ983120 WMF983120 WWB983120 T77 JP77 TL77 ADH77 AND77 AWZ77 BGV77 BQR77 CAN77 CKJ77 CUF77 DEB77 DNX77 DXT77 EHP77 ERL77 FBH77 FLD77 FUZ77 GEV77 GOR77 GYN77 HIJ77 HSF77 ICB77 ILX77 IVT77 JFP77 JPL77 JZH77 KJD77 KSZ77 LCV77 LMR77 LWN77 MGJ77 MQF77 NAB77 NJX77 NTT77 ODP77 ONL77 OXH77 PHD77 PQZ77 QAV77 QKR77 QUN77 REJ77 ROF77 RYB77 SHX77 SRT77 TBP77 TLL77 TVH77 UFD77 UOZ77 UYV77 VIR77 VSN77 WCJ77 WMF77 WWB77 T65613 JP65613 TL65613 ADH65613 AND65613 AWZ65613 BGV65613 BQR65613 CAN65613 CKJ65613 CUF65613 DEB65613 DNX65613 DXT65613 EHP65613 ERL65613 FBH65613 FLD65613 FUZ65613 GEV65613 GOR65613 GYN65613 HIJ65613 HSF65613 ICB65613 ILX65613 IVT65613 JFP65613 JPL65613 JZH65613 KJD65613 KSZ65613 LCV65613 LMR65613 LWN65613 MGJ65613 MQF65613 NAB65613 NJX65613 NTT65613 ODP65613 ONL65613 OXH65613 PHD65613 PQZ65613 QAV65613 QKR65613 QUN65613 REJ65613 ROF65613 RYB65613 SHX65613 SRT65613 TBP65613 TLL65613 TVH65613 UFD65613 UOZ65613 UYV65613 VIR65613 VSN65613 WCJ65613 WMF65613 WWB65613 T131149 JP131149 TL131149 ADH131149 AND131149 AWZ131149 BGV131149 BQR131149 CAN131149 CKJ131149 CUF131149 DEB131149 DNX131149 DXT131149 EHP131149 ERL131149 FBH131149 FLD131149 FUZ131149 GEV131149 GOR131149 GYN131149 HIJ131149 HSF131149 ICB131149 ILX131149 IVT131149 JFP131149 JPL131149 JZH131149 KJD131149 KSZ131149 LCV131149 LMR131149 LWN131149 MGJ131149 MQF131149 NAB131149 NJX131149 NTT131149 ODP131149 ONL131149 OXH131149 PHD131149 PQZ131149 QAV131149 QKR131149 QUN131149 REJ131149 ROF131149 RYB131149 SHX131149 SRT131149 TBP131149 TLL131149 TVH131149 UFD131149 UOZ131149 UYV131149 VIR131149 VSN131149 WCJ131149 WMF131149 WWB131149 T196685 JP196685 TL196685 ADH196685 AND196685 AWZ196685 BGV196685 BQR196685 CAN196685 CKJ196685 CUF196685 DEB196685 DNX196685 DXT196685 EHP196685 ERL196685 FBH196685 FLD196685 FUZ196685 GEV196685 GOR196685 GYN196685 HIJ196685 HSF196685 ICB196685 ILX196685 IVT196685 JFP196685 JPL196685 JZH196685 KJD196685 KSZ196685 LCV196685 LMR196685 LWN196685 MGJ196685 MQF196685 NAB196685 NJX196685 NTT196685 ODP196685 ONL196685 OXH196685 PHD196685 PQZ196685 QAV196685 QKR196685 QUN196685 REJ196685 ROF196685 RYB196685 SHX196685 SRT196685 TBP196685 TLL196685 TVH196685 UFD196685 UOZ196685 UYV196685 VIR196685 VSN196685 WCJ196685 WMF196685 WWB196685 T262221 JP262221 TL262221 ADH262221 AND262221 AWZ262221 BGV262221 BQR262221 CAN262221 CKJ262221 CUF262221 DEB262221 DNX262221 DXT262221 EHP262221 ERL262221 FBH262221 FLD262221 FUZ262221 GEV262221 GOR262221 GYN262221 HIJ262221 HSF262221 ICB262221 ILX262221 IVT262221 JFP262221 JPL262221 JZH262221 KJD262221 KSZ262221 LCV262221 LMR262221 LWN262221 MGJ262221 MQF262221 NAB262221 NJX262221 NTT262221 ODP262221 ONL262221 OXH262221 PHD262221 PQZ262221 QAV262221 QKR262221 QUN262221 REJ262221 ROF262221 RYB262221 SHX262221 SRT262221 TBP262221 TLL262221 TVH262221 UFD262221 UOZ262221 UYV262221 VIR262221 VSN262221 WCJ262221 WMF262221 WWB262221 T327757 JP327757 TL327757 ADH327757 AND327757 AWZ327757 BGV327757 BQR327757 CAN327757 CKJ327757 CUF327757 DEB327757 DNX327757 DXT327757 EHP327757 ERL327757 FBH327757 FLD327757 FUZ327757 GEV327757 GOR327757 GYN327757 HIJ327757 HSF327757 ICB327757 ILX327757 IVT327757 JFP327757 JPL327757 JZH327757 KJD327757 KSZ327757 LCV327757 LMR327757 LWN327757 MGJ327757 MQF327757 NAB327757 NJX327757 NTT327757 ODP327757 ONL327757 OXH327757 PHD327757 PQZ327757 QAV327757 QKR327757 QUN327757 REJ327757 ROF327757 RYB327757 SHX327757 SRT327757 TBP327757 TLL327757 TVH327757 UFD327757 UOZ327757 UYV327757 VIR327757 VSN327757 WCJ327757 WMF327757 WWB327757 T393293 JP393293 TL393293 ADH393293 AND393293 AWZ393293 BGV393293 BQR393293 CAN393293 CKJ393293 CUF393293 DEB393293 DNX393293 DXT393293 EHP393293 ERL393293 FBH393293 FLD393293 FUZ393293 GEV393293 GOR393293 GYN393293 HIJ393293 HSF393293 ICB393293 ILX393293 IVT393293 JFP393293 JPL393293 JZH393293 KJD393293 KSZ393293 LCV393293 LMR393293 LWN393293 MGJ393293 MQF393293 NAB393293 NJX393293 NTT393293 ODP393293 ONL393293 OXH393293 PHD393293 PQZ393293 QAV393293 QKR393293 QUN393293 REJ393293 ROF393293 RYB393293 SHX393293 SRT393293 TBP393293 TLL393293 TVH393293 UFD393293 UOZ393293 UYV393293 VIR393293 VSN393293 WCJ393293 WMF393293 WWB393293 T458829 JP458829 TL458829 ADH458829 AND458829 AWZ458829 BGV458829 BQR458829 CAN458829 CKJ458829 CUF458829 DEB458829 DNX458829 DXT458829 EHP458829 ERL458829 FBH458829 FLD458829 FUZ458829 GEV458829 GOR458829 GYN458829 HIJ458829 HSF458829 ICB458829 ILX458829 IVT458829 JFP458829 JPL458829 JZH458829 KJD458829 KSZ458829 LCV458829 LMR458829 LWN458829 MGJ458829 MQF458829 NAB458829 NJX458829 NTT458829 ODP458829 ONL458829 OXH458829 PHD458829 PQZ458829 QAV458829 QKR458829 QUN458829 REJ458829 ROF458829 RYB458829 SHX458829 SRT458829 TBP458829 TLL458829 TVH458829 UFD458829 UOZ458829 UYV458829 VIR458829 VSN458829 WCJ458829 WMF458829 WWB458829 T524365 JP524365 TL524365 ADH524365 AND524365 AWZ524365 BGV524365 BQR524365 CAN524365 CKJ524365 CUF524365 DEB524365 DNX524365 DXT524365 EHP524365 ERL524365 FBH524365 FLD524365 FUZ524365 GEV524365 GOR524365 GYN524365 HIJ524365 HSF524365 ICB524365 ILX524365 IVT524365 JFP524365 JPL524365 JZH524365 KJD524365 KSZ524365 LCV524365 LMR524365 LWN524365 MGJ524365 MQF524365 NAB524365 NJX524365 NTT524365 ODP524365 ONL524365 OXH524365 PHD524365 PQZ524365 QAV524365 QKR524365 QUN524365 REJ524365 ROF524365 RYB524365 SHX524365 SRT524365 TBP524365 TLL524365 TVH524365 UFD524365 UOZ524365 UYV524365 VIR524365 VSN524365 WCJ524365 WMF524365 WWB524365 T589901 JP589901 TL589901 ADH589901 AND589901 AWZ589901 BGV589901 BQR589901 CAN589901 CKJ589901 CUF589901 DEB589901 DNX589901 DXT589901 EHP589901 ERL589901 FBH589901 FLD589901 FUZ589901 GEV589901 GOR589901 GYN589901 HIJ589901 HSF589901 ICB589901 ILX589901 IVT589901 JFP589901 JPL589901 JZH589901 KJD589901 KSZ589901 LCV589901 LMR589901 LWN589901 MGJ589901 MQF589901 NAB589901 NJX589901 NTT589901 ODP589901 ONL589901 OXH589901 PHD589901 PQZ589901 QAV589901 QKR589901 QUN589901 REJ589901 ROF589901 RYB589901 SHX589901 SRT589901 TBP589901 TLL589901 TVH589901 UFD589901 UOZ589901 UYV589901 VIR589901 VSN589901 WCJ589901 WMF589901 WWB589901 T655437 JP655437 TL655437 ADH655437 AND655437 AWZ655437 BGV655437 BQR655437 CAN655437 CKJ655437 CUF655437 DEB655437 DNX655437 DXT655437 EHP655437 ERL655437 FBH655437 FLD655437 FUZ655437 GEV655437 GOR655437 GYN655437 HIJ655437 HSF655437 ICB655437 ILX655437 IVT655437 JFP655437 JPL655437 JZH655437 KJD655437 KSZ655437 LCV655437 LMR655437 LWN655437 MGJ655437 MQF655437 NAB655437 NJX655437 NTT655437 ODP655437 ONL655437 OXH655437 PHD655437 PQZ655437 QAV655437 QKR655437 QUN655437 REJ655437 ROF655437 RYB655437 SHX655437 SRT655437 TBP655437 TLL655437 TVH655437 UFD655437 UOZ655437 UYV655437 VIR655437 VSN655437 WCJ655437 WMF655437 WWB655437 T720973 JP720973 TL720973 ADH720973 AND720973 AWZ720973 BGV720973 BQR720973 CAN720973 CKJ720973 CUF720973 DEB720973 DNX720973 DXT720973 EHP720973 ERL720973 FBH720973 FLD720973 FUZ720973 GEV720973 GOR720973 GYN720973 HIJ720973 HSF720973 ICB720973 ILX720973 IVT720973 JFP720973 JPL720973 JZH720973 KJD720973 KSZ720973 LCV720973 LMR720973 LWN720973 MGJ720973 MQF720973 NAB720973 NJX720973 NTT720973 ODP720973 ONL720973 OXH720973 PHD720973 PQZ720973 QAV720973 QKR720973 QUN720973 REJ720973 ROF720973 RYB720973 SHX720973 SRT720973 TBP720973 TLL720973 TVH720973 UFD720973 UOZ720973 UYV720973 VIR720973 VSN720973 WCJ720973 WMF720973 WWB720973 T786509 JP786509 TL786509 ADH786509 AND786509 AWZ786509 BGV786509 BQR786509 CAN786509 CKJ786509 CUF786509 DEB786509 DNX786509 DXT786509 EHP786509 ERL786509 FBH786509 FLD786509 FUZ786509 GEV786509 GOR786509 GYN786509 HIJ786509 HSF786509 ICB786509 ILX786509 IVT786509 JFP786509 JPL786509 JZH786509 KJD786509 KSZ786509 LCV786509 LMR786509 LWN786509 MGJ786509 MQF786509 NAB786509 NJX786509 NTT786509 ODP786509 ONL786509 OXH786509 PHD786509 PQZ786509 QAV786509 QKR786509 QUN786509 REJ786509 ROF786509 RYB786509 SHX786509 SRT786509 TBP786509 TLL786509 TVH786509 UFD786509 UOZ786509 UYV786509 VIR786509 VSN786509 WCJ786509 WMF786509 WWB786509 T852045 JP852045 TL852045 ADH852045 AND852045 AWZ852045 BGV852045 BQR852045 CAN852045 CKJ852045 CUF852045 DEB852045 DNX852045 DXT852045 EHP852045 ERL852045 FBH852045 FLD852045 FUZ852045 GEV852045 GOR852045 GYN852045 HIJ852045 HSF852045 ICB852045 ILX852045 IVT852045 JFP852045 JPL852045 JZH852045 KJD852045 KSZ852045 LCV852045 LMR852045 LWN852045 MGJ852045 MQF852045 NAB852045 NJX852045 NTT852045 ODP852045 ONL852045 OXH852045 PHD852045 PQZ852045 QAV852045 QKR852045 QUN852045 REJ852045 ROF852045 RYB852045 SHX852045 SRT852045 TBP852045 TLL852045 TVH852045 UFD852045 UOZ852045 UYV852045 VIR852045 VSN852045 WCJ852045 WMF852045 WWB852045 T917581 JP917581 TL917581 ADH917581 AND917581 AWZ917581 BGV917581 BQR917581 CAN917581 CKJ917581 CUF917581 DEB917581 DNX917581 DXT917581 EHP917581 ERL917581 FBH917581 FLD917581 FUZ917581 GEV917581 GOR917581 GYN917581 HIJ917581 HSF917581 ICB917581 ILX917581 IVT917581 JFP917581 JPL917581 JZH917581 KJD917581 KSZ917581 LCV917581 LMR917581 LWN917581 MGJ917581 MQF917581 NAB917581 NJX917581 NTT917581 ODP917581 ONL917581 OXH917581 PHD917581 PQZ917581 QAV917581 QKR917581 QUN917581 REJ917581 ROF917581 RYB917581 SHX917581 SRT917581 TBP917581 TLL917581 TVH917581 UFD917581 UOZ917581 UYV917581 VIR917581 VSN917581 WCJ917581 WMF917581 WWB917581 T983117 JP983117 TL983117 ADH983117 AND983117 AWZ983117 BGV983117 BQR983117 CAN983117 CKJ983117 CUF983117 DEB983117 DNX983117 DXT983117 EHP983117 ERL983117 FBH983117 FLD983117 FUZ983117 GEV983117 GOR983117 GYN983117 HIJ983117 HSF983117 ICB983117 ILX983117 IVT983117 JFP983117 JPL983117 JZH983117 KJD983117 KSZ983117 LCV983117 LMR983117 LWN983117 MGJ983117 MQF983117 NAB983117 NJX983117 NTT983117 ODP983117 ONL983117 OXH983117 PHD983117 PQZ983117 QAV983117 QKR983117 QUN983117 REJ983117 ROF983117 RYB983117 SHX983117 SRT983117 TBP983117 TLL983117 TVH983117 UFD983117 UOZ983117 UYV983117 VIR983117 VSN983117 WCJ983117 WMF983117 WWB983117 Z73 JV73 TR73 ADN73 ANJ73 AXF73 BHB73 BQX73 CAT73 CKP73 CUL73 DEH73 DOD73 DXZ73 EHV73 ERR73 FBN73 FLJ73 FVF73 GFB73 GOX73 GYT73 HIP73 HSL73 ICH73 IMD73 IVZ73 JFV73 JPR73 JZN73 KJJ73 KTF73 LDB73 LMX73 LWT73 MGP73 MQL73 NAH73 NKD73 NTZ73 ODV73 ONR73 OXN73 PHJ73 PRF73 QBB73 QKX73 QUT73 REP73 ROL73 RYH73 SID73 SRZ73 TBV73 TLR73 TVN73 UFJ73 UPF73 UZB73 VIX73 VST73 WCP73 WML73 WWH73 Z65609 JV65609 TR65609 ADN65609 ANJ65609 AXF65609 BHB65609 BQX65609 CAT65609 CKP65609 CUL65609 DEH65609 DOD65609 DXZ65609 EHV65609 ERR65609 FBN65609 FLJ65609 FVF65609 GFB65609 GOX65609 GYT65609 HIP65609 HSL65609 ICH65609 IMD65609 IVZ65609 JFV65609 JPR65609 JZN65609 KJJ65609 KTF65609 LDB65609 LMX65609 LWT65609 MGP65609 MQL65609 NAH65609 NKD65609 NTZ65609 ODV65609 ONR65609 OXN65609 PHJ65609 PRF65609 QBB65609 QKX65609 QUT65609 REP65609 ROL65609 RYH65609 SID65609 SRZ65609 TBV65609 TLR65609 TVN65609 UFJ65609 UPF65609 UZB65609 VIX65609 VST65609 WCP65609 WML65609 WWH65609 Z131145 JV131145 TR131145 ADN131145 ANJ131145 AXF131145 BHB131145 BQX131145 CAT131145 CKP131145 CUL131145 DEH131145 DOD131145 DXZ131145 EHV131145 ERR131145 FBN131145 FLJ131145 FVF131145 GFB131145 GOX131145 GYT131145 HIP131145 HSL131145 ICH131145 IMD131145 IVZ131145 JFV131145 JPR131145 JZN131145 KJJ131145 KTF131145 LDB131145 LMX131145 LWT131145 MGP131145 MQL131145 NAH131145 NKD131145 NTZ131145 ODV131145 ONR131145 OXN131145 PHJ131145 PRF131145 QBB131145 QKX131145 QUT131145 REP131145 ROL131145 RYH131145 SID131145 SRZ131145 TBV131145 TLR131145 TVN131145 UFJ131145 UPF131145 UZB131145 VIX131145 VST131145 WCP131145 WML131145 WWH131145 Z196681 JV196681 TR196681 ADN196681 ANJ196681 AXF196681 BHB196681 BQX196681 CAT196681 CKP196681 CUL196681 DEH196681 DOD196681 DXZ196681 EHV196681 ERR196681 FBN196681 FLJ196681 FVF196681 GFB196681 GOX196681 GYT196681 HIP196681 HSL196681 ICH196681 IMD196681 IVZ196681 JFV196681 JPR196681 JZN196681 KJJ196681 KTF196681 LDB196681 LMX196681 LWT196681 MGP196681 MQL196681 NAH196681 NKD196681 NTZ196681 ODV196681 ONR196681 OXN196681 PHJ196681 PRF196681 QBB196681 QKX196681 QUT196681 REP196681 ROL196681 RYH196681 SID196681 SRZ196681 TBV196681 TLR196681 TVN196681 UFJ196681 UPF196681 UZB196681 VIX196681 VST196681 WCP196681 WML196681 WWH196681 Z262217 JV262217 TR262217 ADN262217 ANJ262217 AXF262217 BHB262217 BQX262217 CAT262217 CKP262217 CUL262217 DEH262217 DOD262217 DXZ262217 EHV262217 ERR262217 FBN262217 FLJ262217 FVF262217 GFB262217 GOX262217 GYT262217 HIP262217 HSL262217 ICH262217 IMD262217 IVZ262217 JFV262217 JPR262217 JZN262217 KJJ262217 KTF262217 LDB262217 LMX262217 LWT262217 MGP262217 MQL262217 NAH262217 NKD262217 NTZ262217 ODV262217 ONR262217 OXN262217 PHJ262217 PRF262217 QBB262217 QKX262217 QUT262217 REP262217 ROL262217 RYH262217 SID262217 SRZ262217 TBV262217 TLR262217 TVN262217 UFJ262217 UPF262217 UZB262217 VIX262217 VST262217 WCP262217 WML262217 WWH262217 Z327753 JV327753 TR327753 ADN327753 ANJ327753 AXF327753 BHB327753 BQX327753 CAT327753 CKP327753 CUL327753 DEH327753 DOD327753 DXZ327753 EHV327753 ERR327753 FBN327753 FLJ327753 FVF327753 GFB327753 GOX327753 GYT327753 HIP327753 HSL327753 ICH327753 IMD327753 IVZ327753 JFV327753 JPR327753 JZN327753 KJJ327753 KTF327753 LDB327753 LMX327753 LWT327753 MGP327753 MQL327753 NAH327753 NKD327753 NTZ327753 ODV327753 ONR327753 OXN327753 PHJ327753 PRF327753 QBB327753 QKX327753 QUT327753 REP327753 ROL327753 RYH327753 SID327753 SRZ327753 TBV327753 TLR327753 TVN327753 UFJ327753 UPF327753 UZB327753 VIX327753 VST327753 WCP327753 WML327753 WWH327753 Z393289 JV393289 TR393289 ADN393289 ANJ393289 AXF393289 BHB393289 BQX393289 CAT393289 CKP393289 CUL393289 DEH393289 DOD393289 DXZ393289 EHV393289 ERR393289 FBN393289 FLJ393289 FVF393289 GFB393289 GOX393289 GYT393289 HIP393289 HSL393289 ICH393289 IMD393289 IVZ393289 JFV393289 JPR393289 JZN393289 KJJ393289 KTF393289 LDB393289 LMX393289 LWT393289 MGP393289 MQL393289 NAH393289 NKD393289 NTZ393289 ODV393289 ONR393289 OXN393289 PHJ393289 PRF393289 QBB393289 QKX393289 QUT393289 REP393289 ROL393289 RYH393289 SID393289 SRZ393289 TBV393289 TLR393289 TVN393289 UFJ393289 UPF393289 UZB393289 VIX393289 VST393289 WCP393289 WML393289 WWH393289 Z458825 JV458825 TR458825 ADN458825 ANJ458825 AXF458825 BHB458825 BQX458825 CAT458825 CKP458825 CUL458825 DEH458825 DOD458825 DXZ458825 EHV458825 ERR458825 FBN458825 FLJ458825 FVF458825 GFB458825 GOX458825 GYT458825 HIP458825 HSL458825 ICH458825 IMD458825 IVZ458825 JFV458825 JPR458825 JZN458825 KJJ458825 KTF458825 LDB458825 LMX458825 LWT458825 MGP458825 MQL458825 NAH458825 NKD458825 NTZ458825 ODV458825 ONR458825 OXN458825 PHJ458825 PRF458825 QBB458825 QKX458825 QUT458825 REP458825 ROL458825 RYH458825 SID458825 SRZ458825 TBV458825 TLR458825 TVN458825 UFJ458825 UPF458825 UZB458825 VIX458825 VST458825 WCP458825 WML458825 WWH458825 Z524361 JV524361 TR524361 ADN524361 ANJ524361 AXF524361 BHB524361 BQX524361 CAT524361 CKP524361 CUL524361 DEH524361 DOD524361 DXZ524361 EHV524361 ERR524361 FBN524361 FLJ524361 FVF524361 GFB524361 GOX524361 GYT524361 HIP524361 HSL524361 ICH524361 IMD524361 IVZ524361 JFV524361 JPR524361 JZN524361 KJJ524361 KTF524361 LDB524361 LMX524361 LWT524361 MGP524361 MQL524361 NAH524361 NKD524361 NTZ524361 ODV524361 ONR524361 OXN524361 PHJ524361 PRF524361 QBB524361 QKX524361 QUT524361 REP524361 ROL524361 RYH524361 SID524361 SRZ524361 TBV524361 TLR524361 TVN524361 UFJ524361 UPF524361 UZB524361 VIX524361 VST524361 WCP524361 WML524361 WWH524361 Z589897 JV589897 TR589897 ADN589897 ANJ589897 AXF589897 BHB589897 BQX589897 CAT589897 CKP589897 CUL589897 DEH589897 DOD589897 DXZ589897 EHV589897 ERR589897 FBN589897 FLJ589897 FVF589897 GFB589897 GOX589897 GYT589897 HIP589897 HSL589897 ICH589897 IMD589897 IVZ589897 JFV589897 JPR589897 JZN589897 KJJ589897 KTF589897 LDB589897 LMX589897 LWT589897 MGP589897 MQL589897 NAH589897 NKD589897 NTZ589897 ODV589897 ONR589897 OXN589897 PHJ589897 PRF589897 QBB589897 QKX589897 QUT589897 REP589897 ROL589897 RYH589897 SID589897 SRZ589897 TBV589897 TLR589897 TVN589897 UFJ589897 UPF589897 UZB589897 VIX589897 VST589897 WCP589897 WML589897 WWH589897 Z655433 JV655433 TR655433 ADN655433 ANJ655433 AXF655433 BHB655433 BQX655433 CAT655433 CKP655433 CUL655433 DEH655433 DOD655433 DXZ655433 EHV655433 ERR655433 FBN655433 FLJ655433 FVF655433 GFB655433 GOX655433 GYT655433 HIP655433 HSL655433 ICH655433 IMD655433 IVZ655433 JFV655433 JPR655433 JZN655433 KJJ655433 KTF655433 LDB655433 LMX655433 LWT655433 MGP655433 MQL655433 NAH655433 NKD655433 NTZ655433 ODV655433 ONR655433 OXN655433 PHJ655433 PRF655433 QBB655433 QKX655433 QUT655433 REP655433 ROL655433 RYH655433 SID655433 SRZ655433 TBV655433 TLR655433 TVN655433 UFJ655433 UPF655433 UZB655433 VIX655433 VST655433 WCP655433 WML655433 WWH655433 Z720969 JV720969 TR720969 ADN720969 ANJ720969 AXF720969 BHB720969 BQX720969 CAT720969 CKP720969 CUL720969 DEH720969 DOD720969 DXZ720969 EHV720969 ERR720969 FBN720969 FLJ720969 FVF720969 GFB720969 GOX720969 GYT720969 HIP720969 HSL720969 ICH720969 IMD720969 IVZ720969 JFV720969 JPR720969 JZN720969 KJJ720969 KTF720969 LDB720969 LMX720969 LWT720969 MGP720969 MQL720969 NAH720969 NKD720969 NTZ720969 ODV720969 ONR720969 OXN720969 PHJ720969 PRF720969 QBB720969 QKX720969 QUT720969 REP720969 ROL720969 RYH720969 SID720969 SRZ720969 TBV720969 TLR720969 TVN720969 UFJ720969 UPF720969 UZB720969 VIX720969 VST720969 WCP720969 WML720969 WWH720969 Z786505 JV786505 TR786505 ADN786505 ANJ786505 AXF786505 BHB786505 BQX786505 CAT786505 CKP786505 CUL786505 DEH786505 DOD786505 DXZ786505 EHV786505 ERR786505 FBN786505 FLJ786505 FVF786505 GFB786505 GOX786505 GYT786505 HIP786505 HSL786505 ICH786505 IMD786505 IVZ786505 JFV786505 JPR786505 JZN786505 KJJ786505 KTF786505 LDB786505 LMX786505 LWT786505 MGP786505 MQL786505 NAH786505 NKD786505 NTZ786505 ODV786505 ONR786505 OXN786505 PHJ786505 PRF786505 QBB786505 QKX786505 QUT786505 REP786505 ROL786505 RYH786505 SID786505 SRZ786505 TBV786505 TLR786505 TVN786505 UFJ786505 UPF786505 UZB786505 VIX786505 VST786505 WCP786505 WML786505 WWH786505 Z852041 JV852041 TR852041 ADN852041 ANJ852041 AXF852041 BHB852041 BQX852041 CAT852041 CKP852041 CUL852041 DEH852041 DOD852041 DXZ852041 EHV852041 ERR852041 FBN852041 FLJ852041 FVF852041 GFB852041 GOX852041 GYT852041 HIP852041 HSL852041 ICH852041 IMD852041 IVZ852041 JFV852041 JPR852041 JZN852041 KJJ852041 KTF852041 LDB852041 LMX852041 LWT852041 MGP852041 MQL852041 NAH852041 NKD852041 NTZ852041 ODV852041 ONR852041 OXN852041 PHJ852041 PRF852041 QBB852041 QKX852041 QUT852041 REP852041 ROL852041 RYH852041 SID852041 SRZ852041 TBV852041 TLR852041 TVN852041 UFJ852041 UPF852041 UZB852041 VIX852041 VST852041 WCP852041 WML852041 WWH852041 Z917577 JV917577 TR917577 ADN917577 ANJ917577 AXF917577 BHB917577 BQX917577 CAT917577 CKP917577 CUL917577 DEH917577 DOD917577 DXZ917577 EHV917577 ERR917577 FBN917577 FLJ917577 FVF917577 GFB917577 GOX917577 GYT917577 HIP917577 HSL917577 ICH917577 IMD917577 IVZ917577 JFV917577 JPR917577 JZN917577 KJJ917577 KTF917577 LDB917577 LMX917577 LWT917577 MGP917577 MQL917577 NAH917577 NKD917577 NTZ917577 ODV917577 ONR917577 OXN917577 PHJ917577 PRF917577 QBB917577 QKX917577 QUT917577 REP917577 ROL917577 RYH917577 SID917577 SRZ917577 TBV917577 TLR917577 TVN917577 UFJ917577 UPF917577 UZB917577 VIX917577 VST917577 WCP917577 WML917577 WWH917577 Z983113 JV983113 TR983113 ADN983113 ANJ983113 AXF983113 BHB983113 BQX983113 CAT983113 CKP983113 CUL983113 DEH983113 DOD983113 DXZ983113 EHV983113 ERR983113 FBN983113 FLJ983113 FVF983113 GFB983113 GOX983113 GYT983113 HIP983113 HSL983113 ICH983113 IMD983113 IVZ983113 JFV983113 JPR983113 JZN983113 KJJ983113 KTF983113 LDB983113 LMX983113 LWT983113 MGP983113 MQL983113 NAH983113 NKD983113 NTZ983113 ODV983113 ONR983113 OXN983113 PHJ983113 PRF983113 QBB983113 QKX983113 QUT983113 REP983113 ROL983113 RYH983113 SID983113 SRZ983113 TBV983113 TLR983113 TVN983113 UFJ983113 UPF983113 UZB983113 VIX983113 VST983113 WCP983113 WML983113 WWH983113 AN73 KJ73 UF73 AEB73 ANX73 AXT73 BHP73 BRL73 CBH73 CLD73 CUZ73 DEV73 DOR73 DYN73 EIJ73 ESF73 FCB73 FLX73 FVT73 GFP73 GPL73 GZH73 HJD73 HSZ73 ICV73 IMR73 IWN73 JGJ73 JQF73 KAB73 KJX73 KTT73 LDP73 LNL73 LXH73 MHD73 MQZ73 NAV73 NKR73 NUN73 OEJ73 OOF73 OYB73 PHX73 PRT73 QBP73 QLL73 QVH73 RFD73 ROZ73 RYV73 SIR73 SSN73 TCJ73 TMF73 TWB73 UFX73 UPT73 UZP73 VJL73 VTH73 WDD73 WMZ73 WWV73 AN65609 KJ65609 UF65609 AEB65609 ANX65609 AXT65609 BHP65609 BRL65609 CBH65609 CLD65609 CUZ65609 DEV65609 DOR65609 DYN65609 EIJ65609 ESF65609 FCB65609 FLX65609 FVT65609 GFP65609 GPL65609 GZH65609 HJD65609 HSZ65609 ICV65609 IMR65609 IWN65609 JGJ65609 JQF65609 KAB65609 KJX65609 KTT65609 LDP65609 LNL65609 LXH65609 MHD65609 MQZ65609 NAV65609 NKR65609 NUN65609 OEJ65609 OOF65609 OYB65609 PHX65609 PRT65609 QBP65609 QLL65609 QVH65609 RFD65609 ROZ65609 RYV65609 SIR65609 SSN65609 TCJ65609 TMF65609 TWB65609 UFX65609 UPT65609 UZP65609 VJL65609 VTH65609 WDD65609 WMZ65609 WWV65609 AN131145 KJ131145 UF131145 AEB131145 ANX131145 AXT131145 BHP131145 BRL131145 CBH131145 CLD131145 CUZ131145 DEV131145 DOR131145 DYN131145 EIJ131145 ESF131145 FCB131145 FLX131145 FVT131145 GFP131145 GPL131145 GZH131145 HJD131145 HSZ131145 ICV131145 IMR131145 IWN131145 JGJ131145 JQF131145 KAB131145 KJX131145 KTT131145 LDP131145 LNL131145 LXH131145 MHD131145 MQZ131145 NAV131145 NKR131145 NUN131145 OEJ131145 OOF131145 OYB131145 PHX131145 PRT131145 QBP131145 QLL131145 QVH131145 RFD131145 ROZ131145 RYV131145 SIR131145 SSN131145 TCJ131145 TMF131145 TWB131145 UFX131145 UPT131145 UZP131145 VJL131145 VTH131145 WDD131145 WMZ131145 WWV131145 AN196681 KJ196681 UF196681 AEB196681 ANX196681 AXT196681 BHP196681 BRL196681 CBH196681 CLD196681 CUZ196681 DEV196681 DOR196681 DYN196681 EIJ196681 ESF196681 FCB196681 FLX196681 FVT196681 GFP196681 GPL196681 GZH196681 HJD196681 HSZ196681 ICV196681 IMR196681 IWN196681 JGJ196681 JQF196681 KAB196681 KJX196681 KTT196681 LDP196681 LNL196681 LXH196681 MHD196681 MQZ196681 NAV196681 NKR196681 NUN196681 OEJ196681 OOF196681 OYB196681 PHX196681 PRT196681 QBP196681 QLL196681 QVH196681 RFD196681 ROZ196681 RYV196681 SIR196681 SSN196681 TCJ196681 TMF196681 TWB196681 UFX196681 UPT196681 UZP196681 VJL196681 VTH196681 WDD196681 WMZ196681 WWV196681 AN262217 KJ262217 UF262217 AEB262217 ANX262217 AXT262217 BHP262217 BRL262217 CBH262217 CLD262217 CUZ262217 DEV262217 DOR262217 DYN262217 EIJ262217 ESF262217 FCB262217 FLX262217 FVT262217 GFP262217 GPL262217 GZH262217 HJD262217 HSZ262217 ICV262217 IMR262217 IWN262217 JGJ262217 JQF262217 KAB262217 KJX262217 KTT262217 LDP262217 LNL262217 LXH262217 MHD262217 MQZ262217 NAV262217 NKR262217 NUN262217 OEJ262217 OOF262217 OYB262217 PHX262217 PRT262217 QBP262217 QLL262217 QVH262217 RFD262217 ROZ262217 RYV262217 SIR262217 SSN262217 TCJ262217 TMF262217 TWB262217 UFX262217 UPT262217 UZP262217 VJL262217 VTH262217 WDD262217 WMZ262217 WWV262217 AN327753 KJ327753 UF327753 AEB327753 ANX327753 AXT327753 BHP327753 BRL327753 CBH327753 CLD327753 CUZ327753 DEV327753 DOR327753 DYN327753 EIJ327753 ESF327753 FCB327753 FLX327753 FVT327753 GFP327753 GPL327753 GZH327753 HJD327753 HSZ327753 ICV327753 IMR327753 IWN327753 JGJ327753 JQF327753 KAB327753 KJX327753 KTT327753 LDP327753 LNL327753 LXH327753 MHD327753 MQZ327753 NAV327753 NKR327753 NUN327753 OEJ327753 OOF327753 OYB327753 PHX327753 PRT327753 QBP327753 QLL327753 QVH327753 RFD327753 ROZ327753 RYV327753 SIR327753 SSN327753 TCJ327753 TMF327753 TWB327753 UFX327753 UPT327753 UZP327753 VJL327753 VTH327753 WDD327753 WMZ327753 WWV327753 AN393289 KJ393289 UF393289 AEB393289 ANX393289 AXT393289 BHP393289 BRL393289 CBH393289 CLD393289 CUZ393289 DEV393289 DOR393289 DYN393289 EIJ393289 ESF393289 FCB393289 FLX393289 FVT393289 GFP393289 GPL393289 GZH393289 HJD393289 HSZ393289 ICV393289 IMR393289 IWN393289 JGJ393289 JQF393289 KAB393289 KJX393289 KTT393289 LDP393289 LNL393289 LXH393289 MHD393289 MQZ393289 NAV393289 NKR393289 NUN393289 OEJ393289 OOF393289 OYB393289 PHX393289 PRT393289 QBP393289 QLL393289 QVH393289 RFD393289 ROZ393289 RYV393289 SIR393289 SSN393289 TCJ393289 TMF393289 TWB393289 UFX393289 UPT393289 UZP393289 VJL393289 VTH393289 WDD393289 WMZ393289 WWV393289 AN458825 KJ458825 UF458825 AEB458825 ANX458825 AXT458825 BHP458825 BRL458825 CBH458825 CLD458825 CUZ458825 DEV458825 DOR458825 DYN458825 EIJ458825 ESF458825 FCB458825 FLX458825 FVT458825 GFP458825 GPL458825 GZH458825 HJD458825 HSZ458825 ICV458825 IMR458825 IWN458825 JGJ458825 JQF458825 KAB458825 KJX458825 KTT458825 LDP458825 LNL458825 LXH458825 MHD458825 MQZ458825 NAV458825 NKR458825 NUN458825 OEJ458825 OOF458825 OYB458825 PHX458825 PRT458825 QBP458825 QLL458825 QVH458825 RFD458825 ROZ458825 RYV458825 SIR458825 SSN458825 TCJ458825 TMF458825 TWB458825 UFX458825 UPT458825 UZP458825 VJL458825 VTH458825 WDD458825 WMZ458825 WWV458825 AN524361 KJ524361 UF524361 AEB524361 ANX524361 AXT524361 BHP524361 BRL524361 CBH524361 CLD524361 CUZ524361 DEV524361 DOR524361 DYN524361 EIJ524361 ESF524361 FCB524361 FLX524361 FVT524361 GFP524361 GPL524361 GZH524361 HJD524361 HSZ524361 ICV524361 IMR524361 IWN524361 JGJ524361 JQF524361 KAB524361 KJX524361 KTT524361 LDP524361 LNL524361 LXH524361 MHD524361 MQZ524361 NAV524361 NKR524361 NUN524361 OEJ524361 OOF524361 OYB524361 PHX524361 PRT524361 QBP524361 QLL524361 QVH524361 RFD524361 ROZ524361 RYV524361 SIR524361 SSN524361 TCJ524361 TMF524361 TWB524361 UFX524361 UPT524361 UZP524361 VJL524361 VTH524361 WDD524361 WMZ524361 WWV524361 AN589897 KJ589897 UF589897 AEB589897 ANX589897 AXT589897 BHP589897 BRL589897 CBH589897 CLD589897 CUZ589897 DEV589897 DOR589897 DYN589897 EIJ589897 ESF589897 FCB589897 FLX589897 FVT589897 GFP589897 GPL589897 GZH589897 HJD589897 HSZ589897 ICV589897 IMR589897 IWN589897 JGJ589897 JQF589897 KAB589897 KJX589897 KTT589897 LDP589897 LNL589897 LXH589897 MHD589897 MQZ589897 NAV589897 NKR589897 NUN589897 OEJ589897 OOF589897 OYB589897 PHX589897 PRT589897 QBP589897 QLL589897 QVH589897 RFD589897 ROZ589897 RYV589897 SIR589897 SSN589897 TCJ589897 TMF589897 TWB589897 UFX589897 UPT589897 UZP589897 VJL589897 VTH589897 WDD589897 WMZ589897 WWV589897 AN655433 KJ655433 UF655433 AEB655433 ANX655433 AXT655433 BHP655433 BRL655433 CBH655433 CLD655433 CUZ655433 DEV655433 DOR655433 DYN655433 EIJ655433 ESF655433 FCB655433 FLX655433 FVT655433 GFP655433 GPL655433 GZH655433 HJD655433 HSZ655433 ICV655433 IMR655433 IWN655433 JGJ655433 JQF655433 KAB655433 KJX655433 KTT655433 LDP655433 LNL655433 LXH655433 MHD655433 MQZ655433 NAV655433 NKR655433 NUN655433 OEJ655433 OOF655433 OYB655433 PHX655433 PRT655433 QBP655433 QLL655433 QVH655433 RFD655433 ROZ655433 RYV655433 SIR655433 SSN655433 TCJ655433 TMF655433 TWB655433 UFX655433 UPT655433 UZP655433 VJL655433 VTH655433 WDD655433 WMZ655433 WWV655433 AN720969 KJ720969 UF720969 AEB720969 ANX720969 AXT720969 BHP720969 BRL720969 CBH720969 CLD720969 CUZ720969 DEV720969 DOR720969 DYN720969 EIJ720969 ESF720969 FCB720969 FLX720969 FVT720969 GFP720969 GPL720969 GZH720969 HJD720969 HSZ720969 ICV720969 IMR720969 IWN720969 JGJ720969 JQF720969 KAB720969 KJX720969 KTT720969 LDP720969 LNL720969 LXH720969 MHD720969 MQZ720969 NAV720969 NKR720969 NUN720969 OEJ720969 OOF720969 OYB720969 PHX720969 PRT720969 QBP720969 QLL720969 QVH720969 RFD720969 ROZ720969 RYV720969 SIR720969 SSN720969 TCJ720969 TMF720969 TWB720969 UFX720969 UPT720969 UZP720969 VJL720969 VTH720969 WDD720969 WMZ720969 WWV720969 AN786505 KJ786505 UF786505 AEB786505 ANX786505 AXT786505 BHP786505 BRL786505 CBH786505 CLD786505 CUZ786505 DEV786505 DOR786505 DYN786505 EIJ786505 ESF786505 FCB786505 FLX786505 FVT786505 GFP786505 GPL786505 GZH786505 HJD786505 HSZ786505 ICV786505 IMR786505 IWN786505 JGJ786505 JQF786505 KAB786505 KJX786505 KTT786505 LDP786505 LNL786505 LXH786505 MHD786505 MQZ786505 NAV786505 NKR786505 NUN786505 OEJ786505 OOF786505 OYB786505 PHX786505 PRT786505 QBP786505 QLL786505 QVH786505 RFD786505 ROZ786505 RYV786505 SIR786505 SSN786505 TCJ786505 TMF786505 TWB786505 UFX786505 UPT786505 UZP786505 VJL786505 VTH786505 WDD786505 WMZ786505 WWV786505 AN852041 KJ852041 UF852041 AEB852041 ANX852041 AXT852041 BHP852041 BRL852041 CBH852041 CLD852041 CUZ852041 DEV852041 DOR852041 DYN852041 EIJ852041 ESF852041 FCB852041 FLX852041 FVT852041 GFP852041 GPL852041 GZH852041 HJD852041 HSZ852041 ICV852041 IMR852041 IWN852041 JGJ852041 JQF852041 KAB852041 KJX852041 KTT852041 LDP852041 LNL852041 LXH852041 MHD852041 MQZ852041 NAV852041 NKR852041 NUN852041 OEJ852041 OOF852041 OYB852041 PHX852041 PRT852041 QBP852041 QLL852041 QVH852041 RFD852041 ROZ852041 RYV852041 SIR852041 SSN852041 TCJ852041 TMF852041 TWB852041 UFX852041 UPT852041 UZP852041 VJL852041 VTH852041 WDD852041 WMZ852041 WWV852041 AN917577 KJ917577 UF917577 AEB917577 ANX917577 AXT917577 BHP917577 BRL917577 CBH917577 CLD917577 CUZ917577 DEV917577 DOR917577 DYN917577 EIJ917577 ESF917577 FCB917577 FLX917577 FVT917577 GFP917577 GPL917577 GZH917577 HJD917577 HSZ917577 ICV917577 IMR917577 IWN917577 JGJ917577 JQF917577 KAB917577 KJX917577 KTT917577 LDP917577 LNL917577 LXH917577 MHD917577 MQZ917577 NAV917577 NKR917577 NUN917577 OEJ917577 OOF917577 OYB917577 PHX917577 PRT917577 QBP917577 QLL917577 QVH917577 RFD917577 ROZ917577 RYV917577 SIR917577 SSN917577 TCJ917577 TMF917577 TWB917577 UFX917577 UPT917577 UZP917577 VJL917577 VTH917577 WDD917577 WMZ917577 WWV917577 AN983113 KJ983113 UF983113 AEB983113 ANX983113 AXT983113 BHP983113 BRL983113 CBH983113 CLD983113 CUZ983113 DEV983113 DOR983113 DYN983113 EIJ983113 ESF983113 FCB983113 FLX983113 FVT983113 GFP983113 GPL983113 GZH983113 HJD983113 HSZ983113 ICV983113 IMR983113 IWN983113 JGJ983113 JQF983113 KAB983113 KJX983113 KTT983113 LDP983113 LNL983113 LXH983113 MHD983113 MQZ983113 NAV983113 NKR983113 NUN983113 OEJ983113 OOF983113 OYB983113 PHX983113 PRT983113 QBP983113 QLL983113 QVH983113 RFD983113 ROZ983113 RYV983113 SIR983113 SSN983113 TCJ983113 TMF983113 TWB983113 UFX983113 UPT983113 UZP983113 VJL983113 VTH983113 WDD983113 WMZ983113 WWV983113 T202:U203 KX229:KY233 UT229:UU233 AEP229:AEQ233 AOL229:AOM233 AYH229:AYI233 BID229:BIE233 BRZ229:BSA233 CBV229:CBW233 CLR229:CLS233 CVN229:CVO233 DFJ229:DFK233 DPF229:DPG233 DZB229:DZC233 EIX229:EIY233 EST229:ESU233 FCP229:FCQ233 FML229:FMM233 FWH229:FWI233 GGD229:GGE233 GPZ229:GQA233 GZV229:GZW233 HJR229:HJS233 HTN229:HTO233 IDJ229:IDK233 INF229:ING233 IXB229:IXC233 JGX229:JGY233 JQT229:JQU233 KAP229:KAQ233 KKL229:KKM233 KUH229:KUI233 LED229:LEE233 LNZ229:LOA233 LXV229:LXW233 MHR229:MHS233 MRN229:MRO233 NBJ229:NBK233 NLF229:NLG233 NVB229:NVC233 OEX229:OEY233 OOT229:OOU233 OYP229:OYQ233 PIL229:PIM233 PSH229:PSI233 QCD229:QCE233 QLZ229:QMA233 QVV229:QVW233 RFR229:RFS233 RPN229:RPO233 RZJ229:RZK233 SJF229:SJG233 STB229:STC233 TCX229:TCY233 TMT229:TMU233 TWP229:TWQ233 UGL229:UGM233 UQH229:UQI233 VAD229:VAE233 VJZ229:VKA233 VTV229:VTW233 WDR229:WDS233 WNN229:WNO233 WXJ229:WXK233 BB65765:BC65769 KX65765:KY65769 UT65765:UU65769 AEP65765:AEQ65769 AOL65765:AOM65769 AYH65765:AYI65769 BID65765:BIE65769 BRZ65765:BSA65769 CBV65765:CBW65769 CLR65765:CLS65769 CVN65765:CVO65769 DFJ65765:DFK65769 DPF65765:DPG65769 DZB65765:DZC65769 EIX65765:EIY65769 EST65765:ESU65769 FCP65765:FCQ65769 FML65765:FMM65769 FWH65765:FWI65769 GGD65765:GGE65769 GPZ65765:GQA65769 GZV65765:GZW65769 HJR65765:HJS65769 HTN65765:HTO65769 IDJ65765:IDK65769 INF65765:ING65769 IXB65765:IXC65769 JGX65765:JGY65769 JQT65765:JQU65769 KAP65765:KAQ65769 KKL65765:KKM65769 KUH65765:KUI65769 LED65765:LEE65769 LNZ65765:LOA65769 LXV65765:LXW65769 MHR65765:MHS65769 MRN65765:MRO65769 NBJ65765:NBK65769 NLF65765:NLG65769 NVB65765:NVC65769 OEX65765:OEY65769 OOT65765:OOU65769 OYP65765:OYQ65769 PIL65765:PIM65769 PSH65765:PSI65769 QCD65765:QCE65769 QLZ65765:QMA65769 QVV65765:QVW65769 RFR65765:RFS65769 RPN65765:RPO65769 RZJ65765:RZK65769 SJF65765:SJG65769 STB65765:STC65769 TCX65765:TCY65769 TMT65765:TMU65769 TWP65765:TWQ65769 UGL65765:UGM65769 UQH65765:UQI65769 VAD65765:VAE65769 VJZ65765:VKA65769 VTV65765:VTW65769 WDR65765:WDS65769 WNN65765:WNO65769 WXJ65765:WXK65769 BB131301:BC131305 KX131301:KY131305 UT131301:UU131305 AEP131301:AEQ131305 AOL131301:AOM131305 AYH131301:AYI131305 BID131301:BIE131305 BRZ131301:BSA131305 CBV131301:CBW131305 CLR131301:CLS131305 CVN131301:CVO131305 DFJ131301:DFK131305 DPF131301:DPG131305 DZB131301:DZC131305 EIX131301:EIY131305 EST131301:ESU131305 FCP131301:FCQ131305 FML131301:FMM131305 FWH131301:FWI131305 GGD131301:GGE131305 GPZ131301:GQA131305 GZV131301:GZW131305 HJR131301:HJS131305 HTN131301:HTO131305 IDJ131301:IDK131305 INF131301:ING131305 IXB131301:IXC131305 JGX131301:JGY131305 JQT131301:JQU131305 KAP131301:KAQ131305 KKL131301:KKM131305 KUH131301:KUI131305 LED131301:LEE131305 LNZ131301:LOA131305 LXV131301:LXW131305 MHR131301:MHS131305 MRN131301:MRO131305 NBJ131301:NBK131305 NLF131301:NLG131305 NVB131301:NVC131305 OEX131301:OEY131305 OOT131301:OOU131305 OYP131301:OYQ131305 PIL131301:PIM131305 PSH131301:PSI131305 QCD131301:QCE131305 QLZ131301:QMA131305 QVV131301:QVW131305 RFR131301:RFS131305 RPN131301:RPO131305 RZJ131301:RZK131305 SJF131301:SJG131305 STB131301:STC131305 TCX131301:TCY131305 TMT131301:TMU131305 TWP131301:TWQ131305 UGL131301:UGM131305 UQH131301:UQI131305 VAD131301:VAE131305 VJZ131301:VKA131305 VTV131301:VTW131305 WDR131301:WDS131305 WNN131301:WNO131305 WXJ131301:WXK131305 BB196837:BC196841 KX196837:KY196841 UT196837:UU196841 AEP196837:AEQ196841 AOL196837:AOM196841 AYH196837:AYI196841 BID196837:BIE196841 BRZ196837:BSA196841 CBV196837:CBW196841 CLR196837:CLS196841 CVN196837:CVO196841 DFJ196837:DFK196841 DPF196837:DPG196841 DZB196837:DZC196841 EIX196837:EIY196841 EST196837:ESU196841 FCP196837:FCQ196841 FML196837:FMM196841 FWH196837:FWI196841 GGD196837:GGE196841 GPZ196837:GQA196841 GZV196837:GZW196841 HJR196837:HJS196841 HTN196837:HTO196841 IDJ196837:IDK196841 INF196837:ING196841 IXB196837:IXC196841 JGX196837:JGY196841 JQT196837:JQU196841 KAP196837:KAQ196841 KKL196837:KKM196841 KUH196837:KUI196841 LED196837:LEE196841 LNZ196837:LOA196841 LXV196837:LXW196841 MHR196837:MHS196841 MRN196837:MRO196841 NBJ196837:NBK196841 NLF196837:NLG196841 NVB196837:NVC196841 OEX196837:OEY196841 OOT196837:OOU196841 OYP196837:OYQ196841 PIL196837:PIM196841 PSH196837:PSI196841 QCD196837:QCE196841 QLZ196837:QMA196841 QVV196837:QVW196841 RFR196837:RFS196841 RPN196837:RPO196841 RZJ196837:RZK196841 SJF196837:SJG196841 STB196837:STC196841 TCX196837:TCY196841 TMT196837:TMU196841 TWP196837:TWQ196841 UGL196837:UGM196841 UQH196837:UQI196841 VAD196837:VAE196841 VJZ196837:VKA196841 VTV196837:VTW196841 WDR196837:WDS196841 WNN196837:WNO196841 WXJ196837:WXK196841 BB262373:BC262377 KX262373:KY262377 UT262373:UU262377 AEP262373:AEQ262377 AOL262373:AOM262377 AYH262373:AYI262377 BID262373:BIE262377 BRZ262373:BSA262377 CBV262373:CBW262377 CLR262373:CLS262377 CVN262373:CVO262377 DFJ262373:DFK262377 DPF262373:DPG262377 DZB262373:DZC262377 EIX262373:EIY262377 EST262373:ESU262377 FCP262373:FCQ262377 FML262373:FMM262377 FWH262373:FWI262377 GGD262373:GGE262377 GPZ262373:GQA262377 GZV262373:GZW262377 HJR262373:HJS262377 HTN262373:HTO262377 IDJ262373:IDK262377 INF262373:ING262377 IXB262373:IXC262377 JGX262373:JGY262377 JQT262373:JQU262377 KAP262373:KAQ262377 KKL262373:KKM262377 KUH262373:KUI262377 LED262373:LEE262377 LNZ262373:LOA262377 LXV262373:LXW262377 MHR262373:MHS262377 MRN262373:MRO262377 NBJ262373:NBK262377 NLF262373:NLG262377 NVB262373:NVC262377 OEX262373:OEY262377 OOT262373:OOU262377 OYP262373:OYQ262377 PIL262373:PIM262377 PSH262373:PSI262377 QCD262373:QCE262377 QLZ262373:QMA262377 QVV262373:QVW262377 RFR262373:RFS262377 RPN262373:RPO262377 RZJ262373:RZK262377 SJF262373:SJG262377 STB262373:STC262377 TCX262373:TCY262377 TMT262373:TMU262377 TWP262373:TWQ262377 UGL262373:UGM262377 UQH262373:UQI262377 VAD262373:VAE262377 VJZ262373:VKA262377 VTV262373:VTW262377 WDR262373:WDS262377 WNN262373:WNO262377 WXJ262373:WXK262377 BB327909:BC327913 KX327909:KY327913 UT327909:UU327913 AEP327909:AEQ327913 AOL327909:AOM327913 AYH327909:AYI327913 BID327909:BIE327913 BRZ327909:BSA327913 CBV327909:CBW327913 CLR327909:CLS327913 CVN327909:CVO327913 DFJ327909:DFK327913 DPF327909:DPG327913 DZB327909:DZC327913 EIX327909:EIY327913 EST327909:ESU327913 FCP327909:FCQ327913 FML327909:FMM327913 FWH327909:FWI327913 GGD327909:GGE327913 GPZ327909:GQA327913 GZV327909:GZW327913 HJR327909:HJS327913 HTN327909:HTO327913 IDJ327909:IDK327913 INF327909:ING327913 IXB327909:IXC327913 JGX327909:JGY327913 JQT327909:JQU327913 KAP327909:KAQ327913 KKL327909:KKM327913 KUH327909:KUI327913 LED327909:LEE327913 LNZ327909:LOA327913 LXV327909:LXW327913 MHR327909:MHS327913 MRN327909:MRO327913 NBJ327909:NBK327913 NLF327909:NLG327913 NVB327909:NVC327913 OEX327909:OEY327913 OOT327909:OOU327913 OYP327909:OYQ327913 PIL327909:PIM327913 PSH327909:PSI327913 QCD327909:QCE327913 QLZ327909:QMA327913 QVV327909:QVW327913 RFR327909:RFS327913 RPN327909:RPO327913 RZJ327909:RZK327913 SJF327909:SJG327913 STB327909:STC327913 TCX327909:TCY327913 TMT327909:TMU327913 TWP327909:TWQ327913 UGL327909:UGM327913 UQH327909:UQI327913 VAD327909:VAE327913 VJZ327909:VKA327913 VTV327909:VTW327913 WDR327909:WDS327913 WNN327909:WNO327913 WXJ327909:WXK327913 BB393445:BC393449 KX393445:KY393449 UT393445:UU393449 AEP393445:AEQ393449 AOL393445:AOM393449 AYH393445:AYI393449 BID393445:BIE393449 BRZ393445:BSA393449 CBV393445:CBW393449 CLR393445:CLS393449 CVN393445:CVO393449 DFJ393445:DFK393449 DPF393445:DPG393449 DZB393445:DZC393449 EIX393445:EIY393449 EST393445:ESU393449 FCP393445:FCQ393449 FML393445:FMM393449 FWH393445:FWI393449 GGD393445:GGE393449 GPZ393445:GQA393449 GZV393445:GZW393449 HJR393445:HJS393449 HTN393445:HTO393449 IDJ393445:IDK393449 INF393445:ING393449 IXB393445:IXC393449 JGX393445:JGY393449 JQT393445:JQU393449 KAP393445:KAQ393449 KKL393445:KKM393449 KUH393445:KUI393449 LED393445:LEE393449 LNZ393445:LOA393449 LXV393445:LXW393449 MHR393445:MHS393449 MRN393445:MRO393449 NBJ393445:NBK393449 NLF393445:NLG393449 NVB393445:NVC393449 OEX393445:OEY393449 OOT393445:OOU393449 OYP393445:OYQ393449 PIL393445:PIM393449 PSH393445:PSI393449 QCD393445:QCE393449 QLZ393445:QMA393449 QVV393445:QVW393449 RFR393445:RFS393449 RPN393445:RPO393449 RZJ393445:RZK393449 SJF393445:SJG393449 STB393445:STC393449 TCX393445:TCY393449 TMT393445:TMU393449 TWP393445:TWQ393449 UGL393445:UGM393449 UQH393445:UQI393449 VAD393445:VAE393449 VJZ393445:VKA393449 VTV393445:VTW393449 WDR393445:WDS393449 WNN393445:WNO393449 WXJ393445:WXK393449 BB458981:BC458985 KX458981:KY458985 UT458981:UU458985 AEP458981:AEQ458985 AOL458981:AOM458985 AYH458981:AYI458985 BID458981:BIE458985 BRZ458981:BSA458985 CBV458981:CBW458985 CLR458981:CLS458985 CVN458981:CVO458985 DFJ458981:DFK458985 DPF458981:DPG458985 DZB458981:DZC458985 EIX458981:EIY458985 EST458981:ESU458985 FCP458981:FCQ458985 FML458981:FMM458985 FWH458981:FWI458985 GGD458981:GGE458985 GPZ458981:GQA458985 GZV458981:GZW458985 HJR458981:HJS458985 HTN458981:HTO458985 IDJ458981:IDK458985 INF458981:ING458985 IXB458981:IXC458985 JGX458981:JGY458985 JQT458981:JQU458985 KAP458981:KAQ458985 KKL458981:KKM458985 KUH458981:KUI458985 LED458981:LEE458985 LNZ458981:LOA458985 LXV458981:LXW458985 MHR458981:MHS458985 MRN458981:MRO458985 NBJ458981:NBK458985 NLF458981:NLG458985 NVB458981:NVC458985 OEX458981:OEY458985 OOT458981:OOU458985 OYP458981:OYQ458985 PIL458981:PIM458985 PSH458981:PSI458985 QCD458981:QCE458985 QLZ458981:QMA458985 QVV458981:QVW458985 RFR458981:RFS458985 RPN458981:RPO458985 RZJ458981:RZK458985 SJF458981:SJG458985 STB458981:STC458985 TCX458981:TCY458985 TMT458981:TMU458985 TWP458981:TWQ458985 UGL458981:UGM458985 UQH458981:UQI458985 VAD458981:VAE458985 VJZ458981:VKA458985 VTV458981:VTW458985 WDR458981:WDS458985 WNN458981:WNO458985 WXJ458981:WXK458985 BB524517:BC524521 KX524517:KY524521 UT524517:UU524521 AEP524517:AEQ524521 AOL524517:AOM524521 AYH524517:AYI524521 BID524517:BIE524521 BRZ524517:BSA524521 CBV524517:CBW524521 CLR524517:CLS524521 CVN524517:CVO524521 DFJ524517:DFK524521 DPF524517:DPG524521 DZB524517:DZC524521 EIX524517:EIY524521 EST524517:ESU524521 FCP524517:FCQ524521 FML524517:FMM524521 FWH524517:FWI524521 GGD524517:GGE524521 GPZ524517:GQA524521 GZV524517:GZW524521 HJR524517:HJS524521 HTN524517:HTO524521 IDJ524517:IDK524521 INF524517:ING524521 IXB524517:IXC524521 JGX524517:JGY524521 JQT524517:JQU524521 KAP524517:KAQ524521 KKL524517:KKM524521 KUH524517:KUI524521 LED524517:LEE524521 LNZ524517:LOA524521 LXV524517:LXW524521 MHR524517:MHS524521 MRN524517:MRO524521 NBJ524517:NBK524521 NLF524517:NLG524521 NVB524517:NVC524521 OEX524517:OEY524521 OOT524517:OOU524521 OYP524517:OYQ524521 PIL524517:PIM524521 PSH524517:PSI524521 QCD524517:QCE524521 QLZ524517:QMA524521 QVV524517:QVW524521 RFR524517:RFS524521 RPN524517:RPO524521 RZJ524517:RZK524521 SJF524517:SJG524521 STB524517:STC524521 TCX524517:TCY524521 TMT524517:TMU524521 TWP524517:TWQ524521 UGL524517:UGM524521 UQH524517:UQI524521 VAD524517:VAE524521 VJZ524517:VKA524521 VTV524517:VTW524521 WDR524517:WDS524521 WNN524517:WNO524521 WXJ524517:WXK524521 BB590053:BC590057 KX590053:KY590057 UT590053:UU590057 AEP590053:AEQ590057 AOL590053:AOM590057 AYH590053:AYI590057 BID590053:BIE590057 BRZ590053:BSA590057 CBV590053:CBW590057 CLR590053:CLS590057 CVN590053:CVO590057 DFJ590053:DFK590057 DPF590053:DPG590057 DZB590053:DZC590057 EIX590053:EIY590057 EST590053:ESU590057 FCP590053:FCQ590057 FML590053:FMM590057 FWH590053:FWI590057 GGD590053:GGE590057 GPZ590053:GQA590057 GZV590053:GZW590057 HJR590053:HJS590057 HTN590053:HTO590057 IDJ590053:IDK590057 INF590053:ING590057 IXB590053:IXC590057 JGX590053:JGY590057 JQT590053:JQU590057 KAP590053:KAQ590057 KKL590053:KKM590057 KUH590053:KUI590057 LED590053:LEE590057 LNZ590053:LOA590057 LXV590053:LXW590057 MHR590053:MHS590057 MRN590053:MRO590057 NBJ590053:NBK590057 NLF590053:NLG590057 NVB590053:NVC590057 OEX590053:OEY590057 OOT590053:OOU590057 OYP590053:OYQ590057 PIL590053:PIM590057 PSH590053:PSI590057 QCD590053:QCE590057 QLZ590053:QMA590057 QVV590053:QVW590057 RFR590053:RFS590057 RPN590053:RPO590057 RZJ590053:RZK590057 SJF590053:SJG590057 STB590053:STC590057 TCX590053:TCY590057 TMT590053:TMU590057 TWP590053:TWQ590057 UGL590053:UGM590057 UQH590053:UQI590057 VAD590053:VAE590057 VJZ590053:VKA590057 VTV590053:VTW590057 WDR590053:WDS590057 WNN590053:WNO590057 WXJ590053:WXK590057 BB655589:BC655593 KX655589:KY655593 UT655589:UU655593 AEP655589:AEQ655593 AOL655589:AOM655593 AYH655589:AYI655593 BID655589:BIE655593 BRZ655589:BSA655593 CBV655589:CBW655593 CLR655589:CLS655593 CVN655589:CVO655593 DFJ655589:DFK655593 DPF655589:DPG655593 DZB655589:DZC655593 EIX655589:EIY655593 EST655589:ESU655593 FCP655589:FCQ655593 FML655589:FMM655593 FWH655589:FWI655593 GGD655589:GGE655593 GPZ655589:GQA655593 GZV655589:GZW655593 HJR655589:HJS655593 HTN655589:HTO655593 IDJ655589:IDK655593 INF655589:ING655593 IXB655589:IXC655593 JGX655589:JGY655593 JQT655589:JQU655593 KAP655589:KAQ655593 KKL655589:KKM655593 KUH655589:KUI655593 LED655589:LEE655593 LNZ655589:LOA655593 LXV655589:LXW655593 MHR655589:MHS655593 MRN655589:MRO655593 NBJ655589:NBK655593 NLF655589:NLG655593 NVB655589:NVC655593 OEX655589:OEY655593 OOT655589:OOU655593 OYP655589:OYQ655593 PIL655589:PIM655593 PSH655589:PSI655593 QCD655589:QCE655593 QLZ655589:QMA655593 QVV655589:QVW655593 RFR655589:RFS655593 RPN655589:RPO655593 RZJ655589:RZK655593 SJF655589:SJG655593 STB655589:STC655593 TCX655589:TCY655593 TMT655589:TMU655593 TWP655589:TWQ655593 UGL655589:UGM655593 UQH655589:UQI655593 VAD655589:VAE655593 VJZ655589:VKA655593 VTV655589:VTW655593 WDR655589:WDS655593 WNN655589:WNO655593 WXJ655589:WXK655593 BB721125:BC721129 KX721125:KY721129 UT721125:UU721129 AEP721125:AEQ721129 AOL721125:AOM721129 AYH721125:AYI721129 BID721125:BIE721129 BRZ721125:BSA721129 CBV721125:CBW721129 CLR721125:CLS721129 CVN721125:CVO721129 DFJ721125:DFK721129 DPF721125:DPG721129 DZB721125:DZC721129 EIX721125:EIY721129 EST721125:ESU721129 FCP721125:FCQ721129 FML721125:FMM721129 FWH721125:FWI721129 GGD721125:GGE721129 GPZ721125:GQA721129 GZV721125:GZW721129 HJR721125:HJS721129 HTN721125:HTO721129 IDJ721125:IDK721129 INF721125:ING721129 IXB721125:IXC721129 JGX721125:JGY721129 JQT721125:JQU721129 KAP721125:KAQ721129 KKL721125:KKM721129 KUH721125:KUI721129 LED721125:LEE721129 LNZ721125:LOA721129 LXV721125:LXW721129 MHR721125:MHS721129 MRN721125:MRO721129 NBJ721125:NBK721129 NLF721125:NLG721129 NVB721125:NVC721129 OEX721125:OEY721129 OOT721125:OOU721129 OYP721125:OYQ721129 PIL721125:PIM721129 PSH721125:PSI721129 QCD721125:QCE721129 QLZ721125:QMA721129 QVV721125:QVW721129 RFR721125:RFS721129 RPN721125:RPO721129 RZJ721125:RZK721129 SJF721125:SJG721129 STB721125:STC721129 TCX721125:TCY721129 TMT721125:TMU721129 TWP721125:TWQ721129 UGL721125:UGM721129 UQH721125:UQI721129 VAD721125:VAE721129 VJZ721125:VKA721129 VTV721125:VTW721129 WDR721125:WDS721129 WNN721125:WNO721129 WXJ721125:WXK721129 BB786661:BC786665 KX786661:KY786665 UT786661:UU786665 AEP786661:AEQ786665 AOL786661:AOM786665 AYH786661:AYI786665 BID786661:BIE786665 BRZ786661:BSA786665 CBV786661:CBW786665 CLR786661:CLS786665 CVN786661:CVO786665 DFJ786661:DFK786665 DPF786661:DPG786665 DZB786661:DZC786665 EIX786661:EIY786665 EST786661:ESU786665 FCP786661:FCQ786665 FML786661:FMM786665 FWH786661:FWI786665 GGD786661:GGE786665 GPZ786661:GQA786665 GZV786661:GZW786665 HJR786661:HJS786665 HTN786661:HTO786665 IDJ786661:IDK786665 INF786661:ING786665 IXB786661:IXC786665 JGX786661:JGY786665 JQT786661:JQU786665 KAP786661:KAQ786665 KKL786661:KKM786665 KUH786661:KUI786665 LED786661:LEE786665 LNZ786661:LOA786665 LXV786661:LXW786665 MHR786661:MHS786665 MRN786661:MRO786665 NBJ786661:NBK786665 NLF786661:NLG786665 NVB786661:NVC786665 OEX786661:OEY786665 OOT786661:OOU786665 OYP786661:OYQ786665 PIL786661:PIM786665 PSH786661:PSI786665 QCD786661:QCE786665 QLZ786661:QMA786665 QVV786661:QVW786665 RFR786661:RFS786665 RPN786661:RPO786665 RZJ786661:RZK786665 SJF786661:SJG786665 STB786661:STC786665 TCX786661:TCY786665 TMT786661:TMU786665 TWP786661:TWQ786665 UGL786661:UGM786665 UQH786661:UQI786665 VAD786661:VAE786665 VJZ786661:VKA786665 VTV786661:VTW786665 WDR786661:WDS786665 WNN786661:WNO786665 WXJ786661:WXK786665 BB852197:BC852201 KX852197:KY852201 UT852197:UU852201 AEP852197:AEQ852201 AOL852197:AOM852201 AYH852197:AYI852201 BID852197:BIE852201 BRZ852197:BSA852201 CBV852197:CBW852201 CLR852197:CLS852201 CVN852197:CVO852201 DFJ852197:DFK852201 DPF852197:DPG852201 DZB852197:DZC852201 EIX852197:EIY852201 EST852197:ESU852201 FCP852197:FCQ852201 FML852197:FMM852201 FWH852197:FWI852201 GGD852197:GGE852201 GPZ852197:GQA852201 GZV852197:GZW852201 HJR852197:HJS852201 HTN852197:HTO852201 IDJ852197:IDK852201 INF852197:ING852201 IXB852197:IXC852201 JGX852197:JGY852201 JQT852197:JQU852201 KAP852197:KAQ852201 KKL852197:KKM852201 KUH852197:KUI852201 LED852197:LEE852201 LNZ852197:LOA852201 LXV852197:LXW852201 MHR852197:MHS852201 MRN852197:MRO852201 NBJ852197:NBK852201 NLF852197:NLG852201 NVB852197:NVC852201 OEX852197:OEY852201 OOT852197:OOU852201 OYP852197:OYQ852201 PIL852197:PIM852201 PSH852197:PSI852201 QCD852197:QCE852201 QLZ852197:QMA852201 QVV852197:QVW852201 RFR852197:RFS852201 RPN852197:RPO852201 RZJ852197:RZK852201 SJF852197:SJG852201 STB852197:STC852201 TCX852197:TCY852201 TMT852197:TMU852201 TWP852197:TWQ852201 UGL852197:UGM852201 UQH852197:UQI852201 VAD852197:VAE852201 VJZ852197:VKA852201 VTV852197:VTW852201 WDR852197:WDS852201 WNN852197:WNO852201 WXJ852197:WXK852201 BB917733:BC917737 KX917733:KY917737 UT917733:UU917737 AEP917733:AEQ917737 AOL917733:AOM917737 AYH917733:AYI917737 BID917733:BIE917737 BRZ917733:BSA917737 CBV917733:CBW917737 CLR917733:CLS917737 CVN917733:CVO917737 DFJ917733:DFK917737 DPF917733:DPG917737 DZB917733:DZC917737 EIX917733:EIY917737 EST917733:ESU917737 FCP917733:FCQ917737 FML917733:FMM917737 FWH917733:FWI917737 GGD917733:GGE917737 GPZ917733:GQA917737 GZV917733:GZW917737 HJR917733:HJS917737 HTN917733:HTO917737 IDJ917733:IDK917737 INF917733:ING917737 IXB917733:IXC917737 JGX917733:JGY917737 JQT917733:JQU917737 KAP917733:KAQ917737 KKL917733:KKM917737 KUH917733:KUI917737 LED917733:LEE917737 LNZ917733:LOA917737 LXV917733:LXW917737 MHR917733:MHS917737 MRN917733:MRO917737 NBJ917733:NBK917737 NLF917733:NLG917737 NVB917733:NVC917737 OEX917733:OEY917737 OOT917733:OOU917737 OYP917733:OYQ917737 PIL917733:PIM917737 PSH917733:PSI917737 QCD917733:QCE917737 QLZ917733:QMA917737 QVV917733:QVW917737 RFR917733:RFS917737 RPN917733:RPO917737 RZJ917733:RZK917737 SJF917733:SJG917737 STB917733:STC917737 TCX917733:TCY917737 TMT917733:TMU917737 TWP917733:TWQ917737 UGL917733:UGM917737 UQH917733:UQI917737 VAD917733:VAE917737 VJZ917733:VKA917737 VTV917733:VTW917737 WDR917733:WDS917737 WNN917733:WNO917737 WXJ917733:WXK917737 BB983269:BC983273 KX983269:KY983273 UT983269:UU983273 AEP983269:AEQ983273 AOL983269:AOM983273 AYH983269:AYI983273 BID983269:BIE983273 BRZ983269:BSA983273 CBV983269:CBW983273 CLR983269:CLS983273 CVN983269:CVO983273 DFJ983269:DFK983273 DPF983269:DPG983273 DZB983269:DZC983273 EIX983269:EIY983273 EST983269:ESU983273 FCP983269:FCQ983273 FML983269:FMM983273 FWH983269:FWI983273 GGD983269:GGE983273 GPZ983269:GQA983273 GZV983269:GZW983273 HJR983269:HJS983273 HTN983269:HTO983273 IDJ983269:IDK983273 INF983269:ING983273 IXB983269:IXC983273 JGX983269:JGY983273 JQT983269:JQU983273 KAP983269:KAQ983273 KKL983269:KKM983273 KUH983269:KUI983273 LED983269:LEE983273 LNZ983269:LOA983273 LXV983269:LXW983273 MHR983269:MHS983273 MRN983269:MRO983273 NBJ983269:NBK983273 NLF983269:NLG983273 NVB983269:NVC983273 OEX983269:OEY983273 OOT983269:OOU983273 OYP983269:OYQ983273 PIL983269:PIM983273 PSH983269:PSI983273 QCD983269:QCE983273 QLZ983269:QMA983273 QVV983269:QVW983273 RFR983269:RFS983273 RPN983269:RPO983273 RZJ983269:RZK983273 SJF983269:SJG983273 STB983269:STC983273 TCX983269:TCY983273 TMT983269:TMU983273 TWP983269:TWQ983273 UGL983269:UGM983273 UQH983269:UQI983273 VAD983269:VAE983273 VJZ983269:VKA983273 VTV983269:VTW983273 WDR983269:WDS983273 WNN983269:WNO983273 WXJ983269:WXK983273 T199:U200 JP202 TL202 ADH202 AND202 AWZ202 BGV202 BQR202 CAN202 CKJ202 CUF202 DEB202 DNX202 DXT202 EHP202 ERL202 FBH202 FLD202 FUZ202 GEV202 GOR202 GYN202 HIJ202 HSF202 ICB202 ILX202 IVT202 JFP202 JPL202 JZH202 KJD202 KSZ202 LCV202 LMR202 LWN202 MGJ202 MQF202 NAB202 NJX202 NTT202 ODP202 ONL202 OXH202 PHD202 PQZ202 QAV202 QKR202 QUN202 REJ202 ROF202 RYB202 SHX202 SRT202 TBP202 TLL202 TVH202 UFD202 UOZ202 UYV202 VIR202 VSN202 WCJ202 WMF202 WWB202 T65738 JP65738 TL65738 ADH65738 AND65738 AWZ65738 BGV65738 BQR65738 CAN65738 CKJ65738 CUF65738 DEB65738 DNX65738 DXT65738 EHP65738 ERL65738 FBH65738 FLD65738 FUZ65738 GEV65738 GOR65738 GYN65738 HIJ65738 HSF65738 ICB65738 ILX65738 IVT65738 JFP65738 JPL65738 JZH65738 KJD65738 KSZ65738 LCV65738 LMR65738 LWN65738 MGJ65738 MQF65738 NAB65738 NJX65738 NTT65738 ODP65738 ONL65738 OXH65738 PHD65738 PQZ65738 QAV65738 QKR65738 QUN65738 REJ65738 ROF65738 RYB65738 SHX65738 SRT65738 TBP65738 TLL65738 TVH65738 UFD65738 UOZ65738 UYV65738 VIR65738 VSN65738 WCJ65738 WMF65738 WWB65738 T131274 JP131274 TL131274 ADH131274 AND131274 AWZ131274 BGV131274 BQR131274 CAN131274 CKJ131274 CUF131274 DEB131274 DNX131274 DXT131274 EHP131274 ERL131274 FBH131274 FLD131274 FUZ131274 GEV131274 GOR131274 GYN131274 HIJ131274 HSF131274 ICB131274 ILX131274 IVT131274 JFP131274 JPL131274 JZH131274 KJD131274 KSZ131274 LCV131274 LMR131274 LWN131274 MGJ131274 MQF131274 NAB131274 NJX131274 NTT131274 ODP131274 ONL131274 OXH131274 PHD131274 PQZ131274 QAV131274 QKR131274 QUN131274 REJ131274 ROF131274 RYB131274 SHX131274 SRT131274 TBP131274 TLL131274 TVH131274 UFD131274 UOZ131274 UYV131274 VIR131274 VSN131274 WCJ131274 WMF131274 WWB131274 T196810 JP196810 TL196810 ADH196810 AND196810 AWZ196810 BGV196810 BQR196810 CAN196810 CKJ196810 CUF196810 DEB196810 DNX196810 DXT196810 EHP196810 ERL196810 FBH196810 FLD196810 FUZ196810 GEV196810 GOR196810 GYN196810 HIJ196810 HSF196810 ICB196810 ILX196810 IVT196810 JFP196810 JPL196810 JZH196810 KJD196810 KSZ196810 LCV196810 LMR196810 LWN196810 MGJ196810 MQF196810 NAB196810 NJX196810 NTT196810 ODP196810 ONL196810 OXH196810 PHD196810 PQZ196810 QAV196810 QKR196810 QUN196810 REJ196810 ROF196810 RYB196810 SHX196810 SRT196810 TBP196810 TLL196810 TVH196810 UFD196810 UOZ196810 UYV196810 VIR196810 VSN196810 WCJ196810 WMF196810 WWB196810 T262346 JP262346 TL262346 ADH262346 AND262346 AWZ262346 BGV262346 BQR262346 CAN262346 CKJ262346 CUF262346 DEB262346 DNX262346 DXT262346 EHP262346 ERL262346 FBH262346 FLD262346 FUZ262346 GEV262346 GOR262346 GYN262346 HIJ262346 HSF262346 ICB262346 ILX262346 IVT262346 JFP262346 JPL262346 JZH262346 KJD262346 KSZ262346 LCV262346 LMR262346 LWN262346 MGJ262346 MQF262346 NAB262346 NJX262346 NTT262346 ODP262346 ONL262346 OXH262346 PHD262346 PQZ262346 QAV262346 QKR262346 QUN262346 REJ262346 ROF262346 RYB262346 SHX262346 SRT262346 TBP262346 TLL262346 TVH262346 UFD262346 UOZ262346 UYV262346 VIR262346 VSN262346 WCJ262346 WMF262346 WWB262346 T327882 JP327882 TL327882 ADH327882 AND327882 AWZ327882 BGV327882 BQR327882 CAN327882 CKJ327882 CUF327882 DEB327882 DNX327882 DXT327882 EHP327882 ERL327882 FBH327882 FLD327882 FUZ327882 GEV327882 GOR327882 GYN327882 HIJ327882 HSF327882 ICB327882 ILX327882 IVT327882 JFP327882 JPL327882 JZH327882 KJD327882 KSZ327882 LCV327882 LMR327882 LWN327882 MGJ327882 MQF327882 NAB327882 NJX327882 NTT327882 ODP327882 ONL327882 OXH327882 PHD327882 PQZ327882 QAV327882 QKR327882 QUN327882 REJ327882 ROF327882 RYB327882 SHX327882 SRT327882 TBP327882 TLL327882 TVH327882 UFD327882 UOZ327882 UYV327882 VIR327882 VSN327882 WCJ327882 WMF327882 WWB327882 T393418 JP393418 TL393418 ADH393418 AND393418 AWZ393418 BGV393418 BQR393418 CAN393418 CKJ393418 CUF393418 DEB393418 DNX393418 DXT393418 EHP393418 ERL393418 FBH393418 FLD393418 FUZ393418 GEV393418 GOR393418 GYN393418 HIJ393418 HSF393418 ICB393418 ILX393418 IVT393418 JFP393418 JPL393418 JZH393418 KJD393418 KSZ393418 LCV393418 LMR393418 LWN393418 MGJ393418 MQF393418 NAB393418 NJX393418 NTT393418 ODP393418 ONL393418 OXH393418 PHD393418 PQZ393418 QAV393418 QKR393418 QUN393418 REJ393418 ROF393418 RYB393418 SHX393418 SRT393418 TBP393418 TLL393418 TVH393418 UFD393418 UOZ393418 UYV393418 VIR393418 VSN393418 WCJ393418 WMF393418 WWB393418 T458954 JP458954 TL458954 ADH458954 AND458954 AWZ458954 BGV458954 BQR458954 CAN458954 CKJ458954 CUF458954 DEB458954 DNX458954 DXT458954 EHP458954 ERL458954 FBH458954 FLD458954 FUZ458954 GEV458954 GOR458954 GYN458954 HIJ458954 HSF458954 ICB458954 ILX458954 IVT458954 JFP458954 JPL458954 JZH458954 KJD458954 KSZ458954 LCV458954 LMR458954 LWN458954 MGJ458954 MQF458954 NAB458954 NJX458954 NTT458954 ODP458954 ONL458954 OXH458954 PHD458954 PQZ458954 QAV458954 QKR458954 QUN458954 REJ458954 ROF458954 RYB458954 SHX458954 SRT458954 TBP458954 TLL458954 TVH458954 UFD458954 UOZ458954 UYV458954 VIR458954 VSN458954 WCJ458954 WMF458954 WWB458954 T524490 JP524490 TL524490 ADH524490 AND524490 AWZ524490 BGV524490 BQR524490 CAN524490 CKJ524490 CUF524490 DEB524490 DNX524490 DXT524490 EHP524490 ERL524490 FBH524490 FLD524490 FUZ524490 GEV524490 GOR524490 GYN524490 HIJ524490 HSF524490 ICB524490 ILX524490 IVT524490 JFP524490 JPL524490 JZH524490 KJD524490 KSZ524490 LCV524490 LMR524490 LWN524490 MGJ524490 MQF524490 NAB524490 NJX524490 NTT524490 ODP524490 ONL524490 OXH524490 PHD524490 PQZ524490 QAV524490 QKR524490 QUN524490 REJ524490 ROF524490 RYB524490 SHX524490 SRT524490 TBP524490 TLL524490 TVH524490 UFD524490 UOZ524490 UYV524490 VIR524490 VSN524490 WCJ524490 WMF524490 WWB524490 T590026 JP590026 TL590026 ADH590026 AND590026 AWZ590026 BGV590026 BQR590026 CAN590026 CKJ590026 CUF590026 DEB590026 DNX590026 DXT590026 EHP590026 ERL590026 FBH590026 FLD590026 FUZ590026 GEV590026 GOR590026 GYN590026 HIJ590026 HSF590026 ICB590026 ILX590026 IVT590026 JFP590026 JPL590026 JZH590026 KJD590026 KSZ590026 LCV590026 LMR590026 LWN590026 MGJ590026 MQF590026 NAB590026 NJX590026 NTT590026 ODP590026 ONL590026 OXH590026 PHD590026 PQZ590026 QAV590026 QKR590026 QUN590026 REJ590026 ROF590026 RYB590026 SHX590026 SRT590026 TBP590026 TLL590026 TVH590026 UFD590026 UOZ590026 UYV590026 VIR590026 VSN590026 WCJ590026 WMF590026 WWB590026 T655562 JP655562 TL655562 ADH655562 AND655562 AWZ655562 BGV655562 BQR655562 CAN655562 CKJ655562 CUF655562 DEB655562 DNX655562 DXT655562 EHP655562 ERL655562 FBH655562 FLD655562 FUZ655562 GEV655562 GOR655562 GYN655562 HIJ655562 HSF655562 ICB655562 ILX655562 IVT655562 JFP655562 JPL655562 JZH655562 KJD655562 KSZ655562 LCV655562 LMR655562 LWN655562 MGJ655562 MQF655562 NAB655562 NJX655562 NTT655562 ODP655562 ONL655562 OXH655562 PHD655562 PQZ655562 QAV655562 QKR655562 QUN655562 REJ655562 ROF655562 RYB655562 SHX655562 SRT655562 TBP655562 TLL655562 TVH655562 UFD655562 UOZ655562 UYV655562 VIR655562 VSN655562 WCJ655562 WMF655562 WWB655562 T721098 JP721098 TL721098 ADH721098 AND721098 AWZ721098 BGV721098 BQR721098 CAN721098 CKJ721098 CUF721098 DEB721098 DNX721098 DXT721098 EHP721098 ERL721098 FBH721098 FLD721098 FUZ721098 GEV721098 GOR721098 GYN721098 HIJ721098 HSF721098 ICB721098 ILX721098 IVT721098 JFP721098 JPL721098 JZH721098 KJD721098 KSZ721098 LCV721098 LMR721098 LWN721098 MGJ721098 MQF721098 NAB721098 NJX721098 NTT721098 ODP721098 ONL721098 OXH721098 PHD721098 PQZ721098 QAV721098 QKR721098 QUN721098 REJ721098 ROF721098 RYB721098 SHX721098 SRT721098 TBP721098 TLL721098 TVH721098 UFD721098 UOZ721098 UYV721098 VIR721098 VSN721098 WCJ721098 WMF721098 WWB721098 T786634 JP786634 TL786634 ADH786634 AND786634 AWZ786634 BGV786634 BQR786634 CAN786634 CKJ786634 CUF786634 DEB786634 DNX786634 DXT786634 EHP786634 ERL786634 FBH786634 FLD786634 FUZ786634 GEV786634 GOR786634 GYN786634 HIJ786634 HSF786634 ICB786634 ILX786634 IVT786634 JFP786634 JPL786634 JZH786634 KJD786634 KSZ786634 LCV786634 LMR786634 LWN786634 MGJ786634 MQF786634 NAB786634 NJX786634 NTT786634 ODP786634 ONL786634 OXH786634 PHD786634 PQZ786634 QAV786634 QKR786634 QUN786634 REJ786634 ROF786634 RYB786634 SHX786634 SRT786634 TBP786634 TLL786634 TVH786634 UFD786634 UOZ786634 UYV786634 VIR786634 VSN786634 WCJ786634 WMF786634 WWB786634 T852170 JP852170 TL852170 ADH852170 AND852170 AWZ852170 BGV852170 BQR852170 CAN852170 CKJ852170 CUF852170 DEB852170 DNX852170 DXT852170 EHP852170 ERL852170 FBH852170 FLD852170 FUZ852170 GEV852170 GOR852170 GYN852170 HIJ852170 HSF852170 ICB852170 ILX852170 IVT852170 JFP852170 JPL852170 JZH852170 KJD852170 KSZ852170 LCV852170 LMR852170 LWN852170 MGJ852170 MQF852170 NAB852170 NJX852170 NTT852170 ODP852170 ONL852170 OXH852170 PHD852170 PQZ852170 QAV852170 QKR852170 QUN852170 REJ852170 ROF852170 RYB852170 SHX852170 SRT852170 TBP852170 TLL852170 TVH852170 UFD852170 UOZ852170 UYV852170 VIR852170 VSN852170 WCJ852170 WMF852170 WWB852170 T917706 JP917706 TL917706 ADH917706 AND917706 AWZ917706 BGV917706 BQR917706 CAN917706 CKJ917706 CUF917706 DEB917706 DNX917706 DXT917706 EHP917706 ERL917706 FBH917706 FLD917706 FUZ917706 GEV917706 GOR917706 GYN917706 HIJ917706 HSF917706 ICB917706 ILX917706 IVT917706 JFP917706 JPL917706 JZH917706 KJD917706 KSZ917706 LCV917706 LMR917706 LWN917706 MGJ917706 MQF917706 NAB917706 NJX917706 NTT917706 ODP917706 ONL917706 OXH917706 PHD917706 PQZ917706 QAV917706 QKR917706 QUN917706 REJ917706 ROF917706 RYB917706 SHX917706 SRT917706 TBP917706 TLL917706 TVH917706 UFD917706 UOZ917706 UYV917706 VIR917706 VSN917706 WCJ917706 WMF917706 WWB917706 T983242 JP983242 TL983242 ADH983242 AND983242 AWZ983242 BGV983242 BQR983242 CAN983242 CKJ983242 CUF983242 DEB983242 DNX983242 DXT983242 EHP983242 ERL983242 FBH983242 FLD983242 FUZ983242 GEV983242 GOR983242 GYN983242 HIJ983242 HSF983242 ICB983242 ILX983242 IVT983242 JFP983242 JPL983242 JZH983242 KJD983242 KSZ983242 LCV983242 LMR983242 LWN983242 MGJ983242 MQF983242 NAB983242 NJX983242 NTT983242 ODP983242 ONL983242 OXH983242 PHD983242 PQZ983242 QAV983242 QKR983242 QUN983242 REJ983242 ROF983242 RYB983242 SHX983242 SRT983242 TBP983242 TLL983242 TVH983242 UFD983242 UOZ983242 UYV983242 VIR983242 VSN983242 WCJ983242 WMF983242 WWB983242 AN195:AO196 JP199 TL199 ADH199 AND199 AWZ199 BGV199 BQR199 CAN199 CKJ199 CUF199 DEB199 DNX199 DXT199 EHP199 ERL199 FBH199 FLD199 FUZ199 GEV199 GOR199 GYN199 HIJ199 HSF199 ICB199 ILX199 IVT199 JFP199 JPL199 JZH199 KJD199 KSZ199 LCV199 LMR199 LWN199 MGJ199 MQF199 NAB199 NJX199 NTT199 ODP199 ONL199 OXH199 PHD199 PQZ199 QAV199 QKR199 QUN199 REJ199 ROF199 RYB199 SHX199 SRT199 TBP199 TLL199 TVH199 UFD199 UOZ199 UYV199 VIR199 VSN199 WCJ199 WMF199 WWB199 T65735 JP65735 TL65735 ADH65735 AND65735 AWZ65735 BGV65735 BQR65735 CAN65735 CKJ65735 CUF65735 DEB65735 DNX65735 DXT65735 EHP65735 ERL65735 FBH65735 FLD65735 FUZ65735 GEV65735 GOR65735 GYN65735 HIJ65735 HSF65735 ICB65735 ILX65735 IVT65735 JFP65735 JPL65735 JZH65735 KJD65735 KSZ65735 LCV65735 LMR65735 LWN65735 MGJ65735 MQF65735 NAB65735 NJX65735 NTT65735 ODP65735 ONL65735 OXH65735 PHD65735 PQZ65735 QAV65735 QKR65735 QUN65735 REJ65735 ROF65735 RYB65735 SHX65735 SRT65735 TBP65735 TLL65735 TVH65735 UFD65735 UOZ65735 UYV65735 VIR65735 VSN65735 WCJ65735 WMF65735 WWB65735 T131271 JP131271 TL131271 ADH131271 AND131271 AWZ131271 BGV131271 BQR131271 CAN131271 CKJ131271 CUF131271 DEB131271 DNX131271 DXT131271 EHP131271 ERL131271 FBH131271 FLD131271 FUZ131271 GEV131271 GOR131271 GYN131271 HIJ131271 HSF131271 ICB131271 ILX131271 IVT131271 JFP131271 JPL131271 JZH131271 KJD131271 KSZ131271 LCV131271 LMR131271 LWN131271 MGJ131271 MQF131271 NAB131271 NJX131271 NTT131271 ODP131271 ONL131271 OXH131271 PHD131271 PQZ131271 QAV131271 QKR131271 QUN131271 REJ131271 ROF131271 RYB131271 SHX131271 SRT131271 TBP131271 TLL131271 TVH131271 UFD131271 UOZ131271 UYV131271 VIR131271 VSN131271 WCJ131271 WMF131271 WWB131271 T196807 JP196807 TL196807 ADH196807 AND196807 AWZ196807 BGV196807 BQR196807 CAN196807 CKJ196807 CUF196807 DEB196807 DNX196807 DXT196807 EHP196807 ERL196807 FBH196807 FLD196807 FUZ196807 GEV196807 GOR196807 GYN196807 HIJ196807 HSF196807 ICB196807 ILX196807 IVT196807 JFP196807 JPL196807 JZH196807 KJD196807 KSZ196807 LCV196807 LMR196807 LWN196807 MGJ196807 MQF196807 NAB196807 NJX196807 NTT196807 ODP196807 ONL196807 OXH196807 PHD196807 PQZ196807 QAV196807 QKR196807 QUN196807 REJ196807 ROF196807 RYB196807 SHX196807 SRT196807 TBP196807 TLL196807 TVH196807 UFD196807 UOZ196807 UYV196807 VIR196807 VSN196807 WCJ196807 WMF196807 WWB196807 T262343 JP262343 TL262343 ADH262343 AND262343 AWZ262343 BGV262343 BQR262343 CAN262343 CKJ262343 CUF262343 DEB262343 DNX262343 DXT262343 EHP262343 ERL262343 FBH262343 FLD262343 FUZ262343 GEV262343 GOR262343 GYN262343 HIJ262343 HSF262343 ICB262343 ILX262343 IVT262343 JFP262343 JPL262343 JZH262343 KJD262343 KSZ262343 LCV262343 LMR262343 LWN262343 MGJ262343 MQF262343 NAB262343 NJX262343 NTT262343 ODP262343 ONL262343 OXH262343 PHD262343 PQZ262343 QAV262343 QKR262343 QUN262343 REJ262343 ROF262343 RYB262343 SHX262343 SRT262343 TBP262343 TLL262343 TVH262343 UFD262343 UOZ262343 UYV262343 VIR262343 VSN262343 WCJ262343 WMF262343 WWB262343 T327879 JP327879 TL327879 ADH327879 AND327879 AWZ327879 BGV327879 BQR327879 CAN327879 CKJ327879 CUF327879 DEB327879 DNX327879 DXT327879 EHP327879 ERL327879 FBH327879 FLD327879 FUZ327879 GEV327879 GOR327879 GYN327879 HIJ327879 HSF327879 ICB327879 ILX327879 IVT327879 JFP327879 JPL327879 JZH327879 KJD327879 KSZ327879 LCV327879 LMR327879 LWN327879 MGJ327879 MQF327879 NAB327879 NJX327879 NTT327879 ODP327879 ONL327879 OXH327879 PHD327879 PQZ327879 QAV327879 QKR327879 QUN327879 REJ327879 ROF327879 RYB327879 SHX327879 SRT327879 TBP327879 TLL327879 TVH327879 UFD327879 UOZ327879 UYV327879 VIR327879 VSN327879 WCJ327879 WMF327879 WWB327879 T393415 JP393415 TL393415 ADH393415 AND393415 AWZ393415 BGV393415 BQR393415 CAN393415 CKJ393415 CUF393415 DEB393415 DNX393415 DXT393415 EHP393415 ERL393415 FBH393415 FLD393415 FUZ393415 GEV393415 GOR393415 GYN393415 HIJ393415 HSF393415 ICB393415 ILX393415 IVT393415 JFP393415 JPL393415 JZH393415 KJD393415 KSZ393415 LCV393415 LMR393415 LWN393415 MGJ393415 MQF393415 NAB393415 NJX393415 NTT393415 ODP393415 ONL393415 OXH393415 PHD393415 PQZ393415 QAV393415 QKR393415 QUN393415 REJ393415 ROF393415 RYB393415 SHX393415 SRT393415 TBP393415 TLL393415 TVH393415 UFD393415 UOZ393415 UYV393415 VIR393415 VSN393415 WCJ393415 WMF393415 WWB393415 T458951 JP458951 TL458951 ADH458951 AND458951 AWZ458951 BGV458951 BQR458951 CAN458951 CKJ458951 CUF458951 DEB458951 DNX458951 DXT458951 EHP458951 ERL458951 FBH458951 FLD458951 FUZ458951 GEV458951 GOR458951 GYN458951 HIJ458951 HSF458951 ICB458951 ILX458951 IVT458951 JFP458951 JPL458951 JZH458951 KJD458951 KSZ458951 LCV458951 LMR458951 LWN458951 MGJ458951 MQF458951 NAB458951 NJX458951 NTT458951 ODP458951 ONL458951 OXH458951 PHD458951 PQZ458951 QAV458951 QKR458951 QUN458951 REJ458951 ROF458951 RYB458951 SHX458951 SRT458951 TBP458951 TLL458951 TVH458951 UFD458951 UOZ458951 UYV458951 VIR458951 VSN458951 WCJ458951 WMF458951 WWB458951 T524487 JP524487 TL524487 ADH524487 AND524487 AWZ524487 BGV524487 BQR524487 CAN524487 CKJ524487 CUF524487 DEB524487 DNX524487 DXT524487 EHP524487 ERL524487 FBH524487 FLD524487 FUZ524487 GEV524487 GOR524487 GYN524487 HIJ524487 HSF524487 ICB524487 ILX524487 IVT524487 JFP524487 JPL524487 JZH524487 KJD524487 KSZ524487 LCV524487 LMR524487 LWN524487 MGJ524487 MQF524487 NAB524487 NJX524487 NTT524487 ODP524487 ONL524487 OXH524487 PHD524487 PQZ524487 QAV524487 QKR524487 QUN524487 REJ524487 ROF524487 RYB524487 SHX524487 SRT524487 TBP524487 TLL524487 TVH524487 UFD524487 UOZ524487 UYV524487 VIR524487 VSN524487 WCJ524487 WMF524487 WWB524487 T590023 JP590023 TL590023 ADH590023 AND590023 AWZ590023 BGV590023 BQR590023 CAN590023 CKJ590023 CUF590023 DEB590023 DNX590023 DXT590023 EHP590023 ERL590023 FBH590023 FLD590023 FUZ590023 GEV590023 GOR590023 GYN590023 HIJ590023 HSF590023 ICB590023 ILX590023 IVT590023 JFP590023 JPL590023 JZH590023 KJD590023 KSZ590023 LCV590023 LMR590023 LWN590023 MGJ590023 MQF590023 NAB590023 NJX590023 NTT590023 ODP590023 ONL590023 OXH590023 PHD590023 PQZ590023 QAV590023 QKR590023 QUN590023 REJ590023 ROF590023 RYB590023 SHX590023 SRT590023 TBP590023 TLL590023 TVH590023 UFD590023 UOZ590023 UYV590023 VIR590023 VSN590023 WCJ590023 WMF590023 WWB590023 T655559 JP655559 TL655559 ADH655559 AND655559 AWZ655559 BGV655559 BQR655559 CAN655559 CKJ655559 CUF655559 DEB655559 DNX655559 DXT655559 EHP655559 ERL655559 FBH655559 FLD655559 FUZ655559 GEV655559 GOR655559 GYN655559 HIJ655559 HSF655559 ICB655559 ILX655559 IVT655559 JFP655559 JPL655559 JZH655559 KJD655559 KSZ655559 LCV655559 LMR655559 LWN655559 MGJ655559 MQF655559 NAB655559 NJX655559 NTT655559 ODP655559 ONL655559 OXH655559 PHD655559 PQZ655559 QAV655559 QKR655559 QUN655559 REJ655559 ROF655559 RYB655559 SHX655559 SRT655559 TBP655559 TLL655559 TVH655559 UFD655559 UOZ655559 UYV655559 VIR655559 VSN655559 WCJ655559 WMF655559 WWB655559 T721095 JP721095 TL721095 ADH721095 AND721095 AWZ721095 BGV721095 BQR721095 CAN721095 CKJ721095 CUF721095 DEB721095 DNX721095 DXT721095 EHP721095 ERL721095 FBH721095 FLD721095 FUZ721095 GEV721095 GOR721095 GYN721095 HIJ721095 HSF721095 ICB721095 ILX721095 IVT721095 JFP721095 JPL721095 JZH721095 KJD721095 KSZ721095 LCV721095 LMR721095 LWN721095 MGJ721095 MQF721095 NAB721095 NJX721095 NTT721095 ODP721095 ONL721095 OXH721095 PHD721095 PQZ721095 QAV721095 QKR721095 QUN721095 REJ721095 ROF721095 RYB721095 SHX721095 SRT721095 TBP721095 TLL721095 TVH721095 UFD721095 UOZ721095 UYV721095 VIR721095 VSN721095 WCJ721095 WMF721095 WWB721095 T786631 JP786631 TL786631 ADH786631 AND786631 AWZ786631 BGV786631 BQR786631 CAN786631 CKJ786631 CUF786631 DEB786631 DNX786631 DXT786631 EHP786631 ERL786631 FBH786631 FLD786631 FUZ786631 GEV786631 GOR786631 GYN786631 HIJ786631 HSF786631 ICB786631 ILX786631 IVT786631 JFP786631 JPL786631 JZH786631 KJD786631 KSZ786631 LCV786631 LMR786631 LWN786631 MGJ786631 MQF786631 NAB786631 NJX786631 NTT786631 ODP786631 ONL786631 OXH786631 PHD786631 PQZ786631 QAV786631 QKR786631 QUN786631 REJ786631 ROF786631 RYB786631 SHX786631 SRT786631 TBP786631 TLL786631 TVH786631 UFD786631 UOZ786631 UYV786631 VIR786631 VSN786631 WCJ786631 WMF786631 WWB786631 T852167 JP852167 TL852167 ADH852167 AND852167 AWZ852167 BGV852167 BQR852167 CAN852167 CKJ852167 CUF852167 DEB852167 DNX852167 DXT852167 EHP852167 ERL852167 FBH852167 FLD852167 FUZ852167 GEV852167 GOR852167 GYN852167 HIJ852167 HSF852167 ICB852167 ILX852167 IVT852167 JFP852167 JPL852167 JZH852167 KJD852167 KSZ852167 LCV852167 LMR852167 LWN852167 MGJ852167 MQF852167 NAB852167 NJX852167 NTT852167 ODP852167 ONL852167 OXH852167 PHD852167 PQZ852167 QAV852167 QKR852167 QUN852167 REJ852167 ROF852167 RYB852167 SHX852167 SRT852167 TBP852167 TLL852167 TVH852167 UFD852167 UOZ852167 UYV852167 VIR852167 VSN852167 WCJ852167 WMF852167 WWB852167 T917703 JP917703 TL917703 ADH917703 AND917703 AWZ917703 BGV917703 BQR917703 CAN917703 CKJ917703 CUF917703 DEB917703 DNX917703 DXT917703 EHP917703 ERL917703 FBH917703 FLD917703 FUZ917703 GEV917703 GOR917703 GYN917703 HIJ917703 HSF917703 ICB917703 ILX917703 IVT917703 JFP917703 JPL917703 JZH917703 KJD917703 KSZ917703 LCV917703 LMR917703 LWN917703 MGJ917703 MQF917703 NAB917703 NJX917703 NTT917703 ODP917703 ONL917703 OXH917703 PHD917703 PQZ917703 QAV917703 QKR917703 QUN917703 REJ917703 ROF917703 RYB917703 SHX917703 SRT917703 TBP917703 TLL917703 TVH917703 UFD917703 UOZ917703 UYV917703 VIR917703 VSN917703 WCJ917703 WMF917703 WWB917703 T983239 JP983239 TL983239 ADH983239 AND983239 AWZ983239 BGV983239 BQR983239 CAN983239 CKJ983239 CUF983239 DEB983239 DNX983239 DXT983239 EHP983239 ERL983239 FBH983239 FLD983239 FUZ983239 GEV983239 GOR983239 GYN983239 HIJ983239 HSF983239 ICB983239 ILX983239 IVT983239 JFP983239 JPL983239 JZH983239 KJD983239 KSZ983239 LCV983239 LMR983239 LWN983239 MGJ983239 MQF983239 NAB983239 NJX983239 NTT983239 ODP983239 ONL983239 OXH983239 PHD983239 PQZ983239 QAV983239 QKR983239 QUN983239 REJ983239 ROF983239 RYB983239 SHX983239 SRT983239 TBP983239 TLL983239 TVH983239 UFD983239 UOZ983239 UYV983239 VIR983239 VSN983239 WCJ983239 WMF983239 WWB983239 WWV983235 JV195 TR195 ADN195 ANJ195 AXF195 BHB195 BQX195 CAT195 CKP195 CUL195 DEH195 DOD195 DXZ195 EHV195 ERR195 FBN195 FLJ195 FVF195 GFB195 GOX195 GYT195 HIP195 HSL195 ICH195 IMD195 IVZ195 JFV195 JPR195 JZN195 KJJ195 KTF195 LDB195 LMX195 LWT195 MGP195 MQL195 NAH195 NKD195 NTZ195 ODV195 ONR195 OXN195 PHJ195 PRF195 QBB195 QKX195 QUT195 REP195 ROL195 RYH195 SID195 SRZ195 TBV195 TLR195 TVN195 UFJ195 UPF195 UZB195 VIX195 VST195 WCP195 WML195 WWH195 Z65731 JV65731 TR65731 ADN65731 ANJ65731 AXF65731 BHB65731 BQX65731 CAT65731 CKP65731 CUL65731 DEH65731 DOD65731 DXZ65731 EHV65731 ERR65731 FBN65731 FLJ65731 FVF65731 GFB65731 GOX65731 GYT65731 HIP65731 HSL65731 ICH65731 IMD65731 IVZ65731 JFV65731 JPR65731 JZN65731 KJJ65731 KTF65731 LDB65731 LMX65731 LWT65731 MGP65731 MQL65731 NAH65731 NKD65731 NTZ65731 ODV65731 ONR65731 OXN65731 PHJ65731 PRF65731 QBB65731 QKX65731 QUT65731 REP65731 ROL65731 RYH65731 SID65731 SRZ65731 TBV65731 TLR65731 TVN65731 UFJ65731 UPF65731 UZB65731 VIX65731 VST65731 WCP65731 WML65731 WWH65731 Z131267 JV131267 TR131267 ADN131267 ANJ131267 AXF131267 BHB131267 BQX131267 CAT131267 CKP131267 CUL131267 DEH131267 DOD131267 DXZ131267 EHV131267 ERR131267 FBN131267 FLJ131267 FVF131267 GFB131267 GOX131267 GYT131267 HIP131267 HSL131267 ICH131267 IMD131267 IVZ131267 JFV131267 JPR131267 JZN131267 KJJ131267 KTF131267 LDB131267 LMX131267 LWT131267 MGP131267 MQL131267 NAH131267 NKD131267 NTZ131267 ODV131267 ONR131267 OXN131267 PHJ131267 PRF131267 QBB131267 QKX131267 QUT131267 REP131267 ROL131267 RYH131267 SID131267 SRZ131267 TBV131267 TLR131267 TVN131267 UFJ131267 UPF131267 UZB131267 VIX131267 VST131267 WCP131267 WML131267 WWH131267 Z196803 JV196803 TR196803 ADN196803 ANJ196803 AXF196803 BHB196803 BQX196803 CAT196803 CKP196803 CUL196803 DEH196803 DOD196803 DXZ196803 EHV196803 ERR196803 FBN196803 FLJ196803 FVF196803 GFB196803 GOX196803 GYT196803 HIP196803 HSL196803 ICH196803 IMD196803 IVZ196803 JFV196803 JPR196803 JZN196803 KJJ196803 KTF196803 LDB196803 LMX196803 LWT196803 MGP196803 MQL196803 NAH196803 NKD196803 NTZ196803 ODV196803 ONR196803 OXN196803 PHJ196803 PRF196803 QBB196803 QKX196803 QUT196803 REP196803 ROL196803 RYH196803 SID196803 SRZ196803 TBV196803 TLR196803 TVN196803 UFJ196803 UPF196803 UZB196803 VIX196803 VST196803 WCP196803 WML196803 WWH196803 Z262339 JV262339 TR262339 ADN262339 ANJ262339 AXF262339 BHB262339 BQX262339 CAT262339 CKP262339 CUL262339 DEH262339 DOD262339 DXZ262339 EHV262339 ERR262339 FBN262339 FLJ262339 FVF262339 GFB262339 GOX262339 GYT262339 HIP262339 HSL262339 ICH262339 IMD262339 IVZ262339 JFV262339 JPR262339 JZN262339 KJJ262339 KTF262339 LDB262339 LMX262339 LWT262339 MGP262339 MQL262339 NAH262339 NKD262339 NTZ262339 ODV262339 ONR262339 OXN262339 PHJ262339 PRF262339 QBB262339 QKX262339 QUT262339 REP262339 ROL262339 RYH262339 SID262339 SRZ262339 TBV262339 TLR262339 TVN262339 UFJ262339 UPF262339 UZB262339 VIX262339 VST262339 WCP262339 WML262339 WWH262339 Z327875 JV327875 TR327875 ADN327875 ANJ327875 AXF327875 BHB327875 BQX327875 CAT327875 CKP327875 CUL327875 DEH327875 DOD327875 DXZ327875 EHV327875 ERR327875 FBN327875 FLJ327875 FVF327875 GFB327875 GOX327875 GYT327875 HIP327875 HSL327875 ICH327875 IMD327875 IVZ327875 JFV327875 JPR327875 JZN327875 KJJ327875 KTF327875 LDB327875 LMX327875 LWT327875 MGP327875 MQL327875 NAH327875 NKD327875 NTZ327875 ODV327875 ONR327875 OXN327875 PHJ327875 PRF327875 QBB327875 QKX327875 QUT327875 REP327875 ROL327875 RYH327875 SID327875 SRZ327875 TBV327875 TLR327875 TVN327875 UFJ327875 UPF327875 UZB327875 VIX327875 VST327875 WCP327875 WML327875 WWH327875 Z393411 JV393411 TR393411 ADN393411 ANJ393411 AXF393411 BHB393411 BQX393411 CAT393411 CKP393411 CUL393411 DEH393411 DOD393411 DXZ393411 EHV393411 ERR393411 FBN393411 FLJ393411 FVF393411 GFB393411 GOX393411 GYT393411 HIP393411 HSL393411 ICH393411 IMD393411 IVZ393411 JFV393411 JPR393411 JZN393411 KJJ393411 KTF393411 LDB393411 LMX393411 LWT393411 MGP393411 MQL393411 NAH393411 NKD393411 NTZ393411 ODV393411 ONR393411 OXN393411 PHJ393411 PRF393411 QBB393411 QKX393411 QUT393411 REP393411 ROL393411 RYH393411 SID393411 SRZ393411 TBV393411 TLR393411 TVN393411 UFJ393411 UPF393411 UZB393411 VIX393411 VST393411 WCP393411 WML393411 WWH393411 Z458947 JV458947 TR458947 ADN458947 ANJ458947 AXF458947 BHB458947 BQX458947 CAT458947 CKP458947 CUL458947 DEH458947 DOD458947 DXZ458947 EHV458947 ERR458947 FBN458947 FLJ458947 FVF458947 GFB458947 GOX458947 GYT458947 HIP458947 HSL458947 ICH458947 IMD458947 IVZ458947 JFV458947 JPR458947 JZN458947 KJJ458947 KTF458947 LDB458947 LMX458947 LWT458947 MGP458947 MQL458947 NAH458947 NKD458947 NTZ458947 ODV458947 ONR458947 OXN458947 PHJ458947 PRF458947 QBB458947 QKX458947 QUT458947 REP458947 ROL458947 RYH458947 SID458947 SRZ458947 TBV458947 TLR458947 TVN458947 UFJ458947 UPF458947 UZB458947 VIX458947 VST458947 WCP458947 WML458947 WWH458947 Z524483 JV524483 TR524483 ADN524483 ANJ524483 AXF524483 BHB524483 BQX524483 CAT524483 CKP524483 CUL524483 DEH524483 DOD524483 DXZ524483 EHV524483 ERR524483 FBN524483 FLJ524483 FVF524483 GFB524483 GOX524483 GYT524483 HIP524483 HSL524483 ICH524483 IMD524483 IVZ524483 JFV524483 JPR524483 JZN524483 KJJ524483 KTF524483 LDB524483 LMX524483 LWT524483 MGP524483 MQL524483 NAH524483 NKD524483 NTZ524483 ODV524483 ONR524483 OXN524483 PHJ524483 PRF524483 QBB524483 QKX524483 QUT524483 REP524483 ROL524483 RYH524483 SID524483 SRZ524483 TBV524483 TLR524483 TVN524483 UFJ524483 UPF524483 UZB524483 VIX524483 VST524483 WCP524483 WML524483 WWH524483 Z590019 JV590019 TR590019 ADN590019 ANJ590019 AXF590019 BHB590019 BQX590019 CAT590019 CKP590019 CUL590019 DEH590019 DOD590019 DXZ590019 EHV590019 ERR590019 FBN590019 FLJ590019 FVF590019 GFB590019 GOX590019 GYT590019 HIP590019 HSL590019 ICH590019 IMD590019 IVZ590019 JFV590019 JPR590019 JZN590019 KJJ590019 KTF590019 LDB590019 LMX590019 LWT590019 MGP590019 MQL590019 NAH590019 NKD590019 NTZ590019 ODV590019 ONR590019 OXN590019 PHJ590019 PRF590019 QBB590019 QKX590019 QUT590019 REP590019 ROL590019 RYH590019 SID590019 SRZ590019 TBV590019 TLR590019 TVN590019 UFJ590019 UPF590019 UZB590019 VIX590019 VST590019 WCP590019 WML590019 WWH590019 Z655555 JV655555 TR655555 ADN655555 ANJ655555 AXF655555 BHB655555 BQX655555 CAT655555 CKP655555 CUL655555 DEH655555 DOD655555 DXZ655555 EHV655555 ERR655555 FBN655555 FLJ655555 FVF655555 GFB655555 GOX655555 GYT655555 HIP655555 HSL655555 ICH655555 IMD655555 IVZ655555 JFV655555 JPR655555 JZN655555 KJJ655555 KTF655555 LDB655555 LMX655555 LWT655555 MGP655555 MQL655555 NAH655555 NKD655555 NTZ655555 ODV655555 ONR655555 OXN655555 PHJ655555 PRF655555 QBB655555 QKX655555 QUT655555 REP655555 ROL655555 RYH655555 SID655555 SRZ655555 TBV655555 TLR655555 TVN655555 UFJ655555 UPF655555 UZB655555 VIX655555 VST655555 WCP655555 WML655555 WWH655555 Z721091 JV721091 TR721091 ADN721091 ANJ721091 AXF721091 BHB721091 BQX721091 CAT721091 CKP721091 CUL721091 DEH721091 DOD721091 DXZ721091 EHV721091 ERR721091 FBN721091 FLJ721091 FVF721091 GFB721091 GOX721091 GYT721091 HIP721091 HSL721091 ICH721091 IMD721091 IVZ721091 JFV721091 JPR721091 JZN721091 KJJ721091 KTF721091 LDB721091 LMX721091 LWT721091 MGP721091 MQL721091 NAH721091 NKD721091 NTZ721091 ODV721091 ONR721091 OXN721091 PHJ721091 PRF721091 QBB721091 QKX721091 QUT721091 REP721091 ROL721091 RYH721091 SID721091 SRZ721091 TBV721091 TLR721091 TVN721091 UFJ721091 UPF721091 UZB721091 VIX721091 VST721091 WCP721091 WML721091 WWH721091 Z786627 JV786627 TR786627 ADN786627 ANJ786627 AXF786627 BHB786627 BQX786627 CAT786627 CKP786627 CUL786627 DEH786627 DOD786627 DXZ786627 EHV786627 ERR786627 FBN786627 FLJ786627 FVF786627 GFB786627 GOX786627 GYT786627 HIP786627 HSL786627 ICH786627 IMD786627 IVZ786627 JFV786627 JPR786627 JZN786627 KJJ786627 KTF786627 LDB786627 LMX786627 LWT786627 MGP786627 MQL786627 NAH786627 NKD786627 NTZ786627 ODV786627 ONR786627 OXN786627 PHJ786627 PRF786627 QBB786627 QKX786627 QUT786627 REP786627 ROL786627 RYH786627 SID786627 SRZ786627 TBV786627 TLR786627 TVN786627 UFJ786627 UPF786627 UZB786627 VIX786627 VST786627 WCP786627 WML786627 WWH786627 Z852163 JV852163 TR852163 ADN852163 ANJ852163 AXF852163 BHB852163 BQX852163 CAT852163 CKP852163 CUL852163 DEH852163 DOD852163 DXZ852163 EHV852163 ERR852163 FBN852163 FLJ852163 FVF852163 GFB852163 GOX852163 GYT852163 HIP852163 HSL852163 ICH852163 IMD852163 IVZ852163 JFV852163 JPR852163 JZN852163 KJJ852163 KTF852163 LDB852163 LMX852163 LWT852163 MGP852163 MQL852163 NAH852163 NKD852163 NTZ852163 ODV852163 ONR852163 OXN852163 PHJ852163 PRF852163 QBB852163 QKX852163 QUT852163 REP852163 ROL852163 RYH852163 SID852163 SRZ852163 TBV852163 TLR852163 TVN852163 UFJ852163 UPF852163 UZB852163 VIX852163 VST852163 WCP852163 WML852163 WWH852163 Z917699 JV917699 TR917699 ADN917699 ANJ917699 AXF917699 BHB917699 BQX917699 CAT917699 CKP917699 CUL917699 DEH917699 DOD917699 DXZ917699 EHV917699 ERR917699 FBN917699 FLJ917699 FVF917699 GFB917699 GOX917699 GYT917699 HIP917699 HSL917699 ICH917699 IMD917699 IVZ917699 JFV917699 JPR917699 JZN917699 KJJ917699 KTF917699 LDB917699 LMX917699 LWT917699 MGP917699 MQL917699 NAH917699 NKD917699 NTZ917699 ODV917699 ONR917699 OXN917699 PHJ917699 PRF917699 QBB917699 QKX917699 QUT917699 REP917699 ROL917699 RYH917699 SID917699 SRZ917699 TBV917699 TLR917699 TVN917699 UFJ917699 UPF917699 UZB917699 VIX917699 VST917699 WCP917699 WML917699 WWH917699 Z983235 JV983235 TR983235 ADN983235 ANJ983235 AXF983235 BHB983235 BQX983235 CAT983235 CKP983235 CUL983235 DEH983235 DOD983235 DXZ983235 EHV983235 ERR983235 FBN983235 FLJ983235 FVF983235 GFB983235 GOX983235 GYT983235 HIP983235 HSL983235 ICH983235 IMD983235 IVZ983235 JFV983235 JPR983235 JZN983235 KJJ983235 KTF983235 LDB983235 LMX983235 LWT983235 MGP983235 MQL983235 NAH983235 NKD983235 NTZ983235 ODV983235 ONR983235 OXN983235 PHJ983235 PRF983235 QBB983235 QKX983235 QUT983235 REP983235 ROL983235 RYH983235 SID983235 SRZ983235 TBV983235 TLR983235 TVN983235 UFJ983235 UPF983235 UZB983235 VIX983235 VST983235 WCP983235 WML983235 WWH983235 WMZ983235 KJ195 UF195 AEB195 ANX195 AXT195 BHP195 BRL195 CBH195 CLD195 CUZ195 DEV195 DOR195 DYN195 EIJ195 ESF195 FCB195 FLX195 FVT195 GFP195 GPL195 GZH195 HJD195 HSZ195 ICV195 IMR195 IWN195 JGJ195 JQF195 KAB195 KJX195 KTT195 LDP195 LNL195 LXH195 MHD195 MQZ195 NAV195 NKR195 NUN195 OEJ195 OOF195 OYB195 PHX195 PRT195 QBP195 QLL195 QVH195 RFD195 ROZ195 RYV195 SIR195 SSN195 TCJ195 TMF195 TWB195 UFX195 UPT195 UZP195 VJL195 VTH195 WDD195 WMZ195 WWV195 AN65731 KJ65731 UF65731 AEB65731 ANX65731 AXT65731 BHP65731 BRL65731 CBH65731 CLD65731 CUZ65731 DEV65731 DOR65731 DYN65731 EIJ65731 ESF65731 FCB65731 FLX65731 FVT65731 GFP65731 GPL65731 GZH65731 HJD65731 HSZ65731 ICV65731 IMR65731 IWN65731 JGJ65731 JQF65731 KAB65731 KJX65731 KTT65731 LDP65731 LNL65731 LXH65731 MHD65731 MQZ65731 NAV65731 NKR65731 NUN65731 OEJ65731 OOF65731 OYB65731 PHX65731 PRT65731 QBP65731 QLL65731 QVH65731 RFD65731 ROZ65731 RYV65731 SIR65731 SSN65731 TCJ65731 TMF65731 TWB65731 UFX65731 UPT65731 UZP65731 VJL65731 VTH65731 WDD65731 WMZ65731 WWV65731 AN131267 KJ131267 UF131267 AEB131267 ANX131267 AXT131267 BHP131267 BRL131267 CBH131267 CLD131267 CUZ131267 DEV131267 DOR131267 DYN131267 EIJ131267 ESF131267 FCB131267 FLX131267 FVT131267 GFP131267 GPL131267 GZH131267 HJD131267 HSZ131267 ICV131267 IMR131267 IWN131267 JGJ131267 JQF131267 KAB131267 KJX131267 KTT131267 LDP131267 LNL131267 LXH131267 MHD131267 MQZ131267 NAV131267 NKR131267 NUN131267 OEJ131267 OOF131267 OYB131267 PHX131267 PRT131267 QBP131267 QLL131267 QVH131267 RFD131267 ROZ131267 RYV131267 SIR131267 SSN131267 TCJ131267 TMF131267 TWB131267 UFX131267 UPT131267 UZP131267 VJL131267 VTH131267 WDD131267 WMZ131267 WWV131267 AN196803 KJ196803 UF196803 AEB196803 ANX196803 AXT196803 BHP196803 BRL196803 CBH196803 CLD196803 CUZ196803 DEV196803 DOR196803 DYN196803 EIJ196803 ESF196803 FCB196803 FLX196803 FVT196803 GFP196803 GPL196803 GZH196803 HJD196803 HSZ196803 ICV196803 IMR196803 IWN196803 JGJ196803 JQF196803 KAB196803 KJX196803 KTT196803 LDP196803 LNL196803 LXH196803 MHD196803 MQZ196803 NAV196803 NKR196803 NUN196803 OEJ196803 OOF196803 OYB196803 PHX196803 PRT196803 QBP196803 QLL196803 QVH196803 RFD196803 ROZ196803 RYV196803 SIR196803 SSN196803 TCJ196803 TMF196803 TWB196803 UFX196803 UPT196803 UZP196803 VJL196803 VTH196803 WDD196803 WMZ196803 WWV196803 AN262339 KJ262339 UF262339 AEB262339 ANX262339 AXT262339 BHP262339 BRL262339 CBH262339 CLD262339 CUZ262339 DEV262339 DOR262339 DYN262339 EIJ262339 ESF262339 FCB262339 FLX262339 FVT262339 GFP262339 GPL262339 GZH262339 HJD262339 HSZ262339 ICV262339 IMR262339 IWN262339 JGJ262339 JQF262339 KAB262339 KJX262339 KTT262339 LDP262339 LNL262339 LXH262339 MHD262339 MQZ262339 NAV262339 NKR262339 NUN262339 OEJ262339 OOF262339 OYB262339 PHX262339 PRT262339 QBP262339 QLL262339 QVH262339 RFD262339 ROZ262339 RYV262339 SIR262339 SSN262339 TCJ262339 TMF262339 TWB262339 UFX262339 UPT262339 UZP262339 VJL262339 VTH262339 WDD262339 WMZ262339 WWV262339 AN327875 KJ327875 UF327875 AEB327875 ANX327875 AXT327875 BHP327875 BRL327875 CBH327875 CLD327875 CUZ327875 DEV327875 DOR327875 DYN327875 EIJ327875 ESF327875 FCB327875 FLX327875 FVT327875 GFP327875 GPL327875 GZH327875 HJD327875 HSZ327875 ICV327875 IMR327875 IWN327875 JGJ327875 JQF327875 KAB327875 KJX327875 KTT327875 LDP327875 LNL327875 LXH327875 MHD327875 MQZ327875 NAV327875 NKR327875 NUN327875 OEJ327875 OOF327875 OYB327875 PHX327875 PRT327875 QBP327875 QLL327875 QVH327875 RFD327875 ROZ327875 RYV327875 SIR327875 SSN327875 TCJ327875 TMF327875 TWB327875 UFX327875 UPT327875 UZP327875 VJL327875 VTH327875 WDD327875 WMZ327875 WWV327875 AN393411 KJ393411 UF393411 AEB393411 ANX393411 AXT393411 BHP393411 BRL393411 CBH393411 CLD393411 CUZ393411 DEV393411 DOR393411 DYN393411 EIJ393411 ESF393411 FCB393411 FLX393411 FVT393411 GFP393411 GPL393411 GZH393411 HJD393411 HSZ393411 ICV393411 IMR393411 IWN393411 JGJ393411 JQF393411 KAB393411 KJX393411 KTT393411 LDP393411 LNL393411 LXH393411 MHD393411 MQZ393411 NAV393411 NKR393411 NUN393411 OEJ393411 OOF393411 OYB393411 PHX393411 PRT393411 QBP393411 QLL393411 QVH393411 RFD393411 ROZ393411 RYV393411 SIR393411 SSN393411 TCJ393411 TMF393411 TWB393411 UFX393411 UPT393411 UZP393411 VJL393411 VTH393411 WDD393411 WMZ393411 WWV393411 AN458947 KJ458947 UF458947 AEB458947 ANX458947 AXT458947 BHP458947 BRL458947 CBH458947 CLD458947 CUZ458947 DEV458947 DOR458947 DYN458947 EIJ458947 ESF458947 FCB458947 FLX458947 FVT458947 GFP458947 GPL458947 GZH458947 HJD458947 HSZ458947 ICV458947 IMR458947 IWN458947 JGJ458947 JQF458947 KAB458947 KJX458947 KTT458947 LDP458947 LNL458947 LXH458947 MHD458947 MQZ458947 NAV458947 NKR458947 NUN458947 OEJ458947 OOF458947 OYB458947 PHX458947 PRT458947 QBP458947 QLL458947 QVH458947 RFD458947 ROZ458947 RYV458947 SIR458947 SSN458947 TCJ458947 TMF458947 TWB458947 UFX458947 UPT458947 UZP458947 VJL458947 VTH458947 WDD458947 WMZ458947 WWV458947 AN524483 KJ524483 UF524483 AEB524483 ANX524483 AXT524483 BHP524483 BRL524483 CBH524483 CLD524483 CUZ524483 DEV524483 DOR524483 DYN524483 EIJ524483 ESF524483 FCB524483 FLX524483 FVT524483 GFP524483 GPL524483 GZH524483 HJD524483 HSZ524483 ICV524483 IMR524483 IWN524483 JGJ524483 JQF524483 KAB524483 KJX524483 KTT524483 LDP524483 LNL524483 LXH524483 MHD524483 MQZ524483 NAV524483 NKR524483 NUN524483 OEJ524483 OOF524483 OYB524483 PHX524483 PRT524483 QBP524483 QLL524483 QVH524483 RFD524483 ROZ524483 RYV524483 SIR524483 SSN524483 TCJ524483 TMF524483 TWB524483 UFX524483 UPT524483 UZP524483 VJL524483 VTH524483 WDD524483 WMZ524483 WWV524483 AN590019 KJ590019 UF590019 AEB590019 ANX590019 AXT590019 BHP590019 BRL590019 CBH590019 CLD590019 CUZ590019 DEV590019 DOR590019 DYN590019 EIJ590019 ESF590019 FCB590019 FLX590019 FVT590019 GFP590019 GPL590019 GZH590019 HJD590019 HSZ590019 ICV590019 IMR590019 IWN590019 JGJ590019 JQF590019 KAB590019 KJX590019 KTT590019 LDP590019 LNL590019 LXH590019 MHD590019 MQZ590019 NAV590019 NKR590019 NUN590019 OEJ590019 OOF590019 OYB590019 PHX590019 PRT590019 QBP590019 QLL590019 QVH590019 RFD590019 ROZ590019 RYV590019 SIR590019 SSN590019 TCJ590019 TMF590019 TWB590019 UFX590019 UPT590019 UZP590019 VJL590019 VTH590019 WDD590019 WMZ590019 WWV590019 AN655555 KJ655555 UF655555 AEB655555 ANX655555 AXT655555 BHP655555 BRL655555 CBH655555 CLD655555 CUZ655555 DEV655555 DOR655555 DYN655555 EIJ655555 ESF655555 FCB655555 FLX655555 FVT655555 GFP655555 GPL655555 GZH655555 HJD655555 HSZ655555 ICV655555 IMR655555 IWN655555 JGJ655555 JQF655555 KAB655555 KJX655555 KTT655555 LDP655555 LNL655555 LXH655555 MHD655555 MQZ655555 NAV655555 NKR655555 NUN655555 OEJ655555 OOF655555 OYB655555 PHX655555 PRT655555 QBP655555 QLL655555 QVH655555 RFD655555 ROZ655555 RYV655555 SIR655555 SSN655555 TCJ655555 TMF655555 TWB655555 UFX655555 UPT655555 UZP655555 VJL655555 VTH655555 WDD655555 WMZ655555 WWV655555 AN721091 KJ721091 UF721091 AEB721091 ANX721091 AXT721091 BHP721091 BRL721091 CBH721091 CLD721091 CUZ721091 DEV721091 DOR721091 DYN721091 EIJ721091 ESF721091 FCB721091 FLX721091 FVT721091 GFP721091 GPL721091 GZH721091 HJD721091 HSZ721091 ICV721091 IMR721091 IWN721091 JGJ721091 JQF721091 KAB721091 KJX721091 KTT721091 LDP721091 LNL721091 LXH721091 MHD721091 MQZ721091 NAV721091 NKR721091 NUN721091 OEJ721091 OOF721091 OYB721091 PHX721091 PRT721091 QBP721091 QLL721091 QVH721091 RFD721091 ROZ721091 RYV721091 SIR721091 SSN721091 TCJ721091 TMF721091 TWB721091 UFX721091 UPT721091 UZP721091 VJL721091 VTH721091 WDD721091 WMZ721091 WWV721091 AN786627 KJ786627 UF786627 AEB786627 ANX786627 AXT786627 BHP786627 BRL786627 CBH786627 CLD786627 CUZ786627 DEV786627 DOR786627 DYN786627 EIJ786627 ESF786627 FCB786627 FLX786627 FVT786627 GFP786627 GPL786627 GZH786627 HJD786627 HSZ786627 ICV786627 IMR786627 IWN786627 JGJ786627 JQF786627 KAB786627 KJX786627 KTT786627 LDP786627 LNL786627 LXH786627 MHD786627 MQZ786627 NAV786627 NKR786627 NUN786627 OEJ786627 OOF786627 OYB786627 PHX786627 PRT786627 QBP786627 QLL786627 QVH786627 RFD786627 ROZ786627 RYV786627 SIR786627 SSN786627 TCJ786627 TMF786627 TWB786627 UFX786627 UPT786627 UZP786627 VJL786627 VTH786627 WDD786627 WMZ786627 WWV786627 AN852163 KJ852163 UF852163 AEB852163 ANX852163 AXT852163 BHP852163 BRL852163 CBH852163 CLD852163 CUZ852163 DEV852163 DOR852163 DYN852163 EIJ852163 ESF852163 FCB852163 FLX852163 FVT852163 GFP852163 GPL852163 GZH852163 HJD852163 HSZ852163 ICV852163 IMR852163 IWN852163 JGJ852163 JQF852163 KAB852163 KJX852163 KTT852163 LDP852163 LNL852163 LXH852163 MHD852163 MQZ852163 NAV852163 NKR852163 NUN852163 OEJ852163 OOF852163 OYB852163 PHX852163 PRT852163 QBP852163 QLL852163 QVH852163 RFD852163 ROZ852163 RYV852163 SIR852163 SSN852163 TCJ852163 TMF852163 TWB852163 UFX852163 UPT852163 UZP852163 VJL852163 VTH852163 WDD852163 WMZ852163 WWV852163 AN917699 KJ917699 UF917699 AEB917699 ANX917699 AXT917699 BHP917699 BRL917699 CBH917699 CLD917699 CUZ917699 DEV917699 DOR917699 DYN917699 EIJ917699 ESF917699 FCB917699 FLX917699 FVT917699 GFP917699 GPL917699 GZH917699 HJD917699 HSZ917699 ICV917699 IMR917699 IWN917699 JGJ917699 JQF917699 KAB917699 KJX917699 KTT917699 LDP917699 LNL917699 LXH917699 MHD917699 MQZ917699 NAV917699 NKR917699 NUN917699 OEJ917699 OOF917699 OYB917699 PHX917699 PRT917699 QBP917699 QLL917699 QVH917699 RFD917699 ROZ917699 RYV917699 SIR917699 SSN917699 TCJ917699 TMF917699 TWB917699 UFX917699 UPT917699 UZP917699 VJL917699 VTH917699 WDD917699 WMZ917699 WWV917699 AN983235 KJ983235 UF983235 AEB983235 ANX983235 AXT983235 BHP983235 BRL983235 CBH983235 CLD983235 CUZ983235 DEV983235 DOR983235 DYN983235 EIJ983235 ESF983235 FCB983235 FLX983235 FVT983235 GFP983235 GPL983235 GZH983235 HJD983235 HSZ983235 ICV983235 IMR983235 IWN983235 JGJ983235 JQF983235 KAB983235 KJX983235 KTT983235 LDP983235 LNL983235 LXH983235 MHD983235 MQZ983235 NAV983235 NKR983235 NUN983235 OEJ983235 OOF983235 OYB983235 PHX983235 PRT983235 QBP983235 QLL983235 QVH983235 RFD983235 ROZ983235 RYV983235 SIR983235 SSN983235 TCJ983235 TMF983235 TWB983235 UFX983235 UPT983235 UZP983235 VJL983235 VTH983235 WDD983235 Z195:AA196 BB229:BC233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zoomScale="75" zoomScaleNormal="75" workbookViewId="0"/>
  </sheetViews>
  <sheetFormatPr defaultColWidth="3.625" defaultRowHeight="12.75"/>
  <cols>
    <col min="1" max="1" width="0.875" style="290" customWidth="1"/>
    <col min="2" max="2" width="2.875" style="290" customWidth="1"/>
    <col min="3" max="8" width="3.625" style="290" customWidth="1"/>
    <col min="9" max="9" width="3.25" style="290" customWidth="1"/>
    <col min="10" max="25" width="3.625" style="290" customWidth="1"/>
    <col min="26" max="26" width="4.375" style="290" customWidth="1"/>
    <col min="27" max="27" width="1.375" style="290" customWidth="1"/>
    <col min="28" max="256" width="3.625" style="290" customWidth="1"/>
    <col min="257" max="257" width="0.875" style="290" customWidth="1"/>
    <col min="258" max="258" width="2.875" style="290" customWidth="1"/>
    <col min="259" max="264" width="3.625" style="290" customWidth="1"/>
    <col min="265" max="265" width="3.25" style="290" customWidth="1"/>
    <col min="266" max="280" width="3.625" style="290" customWidth="1"/>
    <col min="281" max="281" width="2.875" style="290" customWidth="1"/>
    <col min="282" max="282" width="4.375" style="290" customWidth="1"/>
    <col min="283" max="283" width="1.375" style="290" customWidth="1"/>
    <col min="284" max="512" width="3.625" style="290" customWidth="1"/>
    <col min="513" max="513" width="0.875" style="290" customWidth="1"/>
    <col min="514" max="514" width="2.875" style="290" customWidth="1"/>
    <col min="515" max="520" width="3.625" style="290" customWidth="1"/>
    <col min="521" max="521" width="3.25" style="290" customWidth="1"/>
    <col min="522" max="536" width="3.625" style="290" customWidth="1"/>
    <col min="537" max="537" width="2.875" style="290" customWidth="1"/>
    <col min="538" max="538" width="4.375" style="290" customWidth="1"/>
    <col min="539" max="539" width="1.375" style="290" customWidth="1"/>
    <col min="540" max="768" width="3.625" style="290" customWidth="1"/>
    <col min="769" max="769" width="0.875" style="290" customWidth="1"/>
    <col min="770" max="770" width="2.875" style="290" customWidth="1"/>
    <col min="771" max="776" width="3.625" style="290" customWidth="1"/>
    <col min="777" max="777" width="3.25" style="290" customWidth="1"/>
    <col min="778" max="792" width="3.625" style="290" customWidth="1"/>
    <col min="793" max="793" width="2.875" style="290" customWidth="1"/>
    <col min="794" max="794" width="4.375" style="290" customWidth="1"/>
    <col min="795" max="795" width="1.375" style="290" customWidth="1"/>
    <col min="796" max="1024" width="3.625" style="290" customWidth="1"/>
    <col min="1025" max="1025" width="0.875" style="290" customWidth="1"/>
    <col min="1026" max="1026" width="2.875" style="290" customWidth="1"/>
    <col min="1027" max="1032" width="3.625" style="290" customWidth="1"/>
    <col min="1033" max="1033" width="3.25" style="290" customWidth="1"/>
    <col min="1034" max="1048" width="3.625" style="290" customWidth="1"/>
    <col min="1049" max="1049" width="2.875" style="290" customWidth="1"/>
    <col min="1050" max="1050" width="4.375" style="290" customWidth="1"/>
    <col min="1051" max="1051" width="1.375" style="290" customWidth="1"/>
    <col min="1052" max="1280" width="3.625" style="290" customWidth="1"/>
    <col min="1281" max="1281" width="0.875" style="290" customWidth="1"/>
    <col min="1282" max="1282" width="2.875" style="290" customWidth="1"/>
    <col min="1283" max="1288" width="3.625" style="290" customWidth="1"/>
    <col min="1289" max="1289" width="3.25" style="290" customWidth="1"/>
    <col min="1290" max="1304" width="3.625" style="290" customWidth="1"/>
    <col min="1305" max="1305" width="2.875" style="290" customWidth="1"/>
    <col min="1306" max="1306" width="4.375" style="290" customWidth="1"/>
    <col min="1307" max="1307" width="1.375" style="290" customWidth="1"/>
    <col min="1308" max="1536" width="3.625" style="290" customWidth="1"/>
    <col min="1537" max="1537" width="0.875" style="290" customWidth="1"/>
    <col min="1538" max="1538" width="2.875" style="290" customWidth="1"/>
    <col min="1539" max="1544" width="3.625" style="290" customWidth="1"/>
    <col min="1545" max="1545" width="3.25" style="290" customWidth="1"/>
    <col min="1546" max="1560" width="3.625" style="290" customWidth="1"/>
    <col min="1561" max="1561" width="2.875" style="290" customWidth="1"/>
    <col min="1562" max="1562" width="4.375" style="290" customWidth="1"/>
    <col min="1563" max="1563" width="1.375" style="290" customWidth="1"/>
    <col min="1564" max="1792" width="3.625" style="290" customWidth="1"/>
    <col min="1793" max="1793" width="0.875" style="290" customWidth="1"/>
    <col min="1794" max="1794" width="2.875" style="290" customWidth="1"/>
    <col min="1795" max="1800" width="3.625" style="290" customWidth="1"/>
    <col min="1801" max="1801" width="3.25" style="290" customWidth="1"/>
    <col min="1802" max="1816" width="3.625" style="290" customWidth="1"/>
    <col min="1817" max="1817" width="2.875" style="290" customWidth="1"/>
    <col min="1818" max="1818" width="4.375" style="290" customWidth="1"/>
    <col min="1819" max="1819" width="1.375" style="290" customWidth="1"/>
    <col min="1820" max="2048" width="3.625" style="290" customWidth="1"/>
    <col min="2049" max="2049" width="0.875" style="290" customWidth="1"/>
    <col min="2050" max="2050" width="2.875" style="290" customWidth="1"/>
    <col min="2051" max="2056" width="3.625" style="290" customWidth="1"/>
    <col min="2057" max="2057" width="3.25" style="290" customWidth="1"/>
    <col min="2058" max="2072" width="3.625" style="290" customWidth="1"/>
    <col min="2073" max="2073" width="2.875" style="290" customWidth="1"/>
    <col min="2074" max="2074" width="4.375" style="290" customWidth="1"/>
    <col min="2075" max="2075" width="1.375" style="290" customWidth="1"/>
    <col min="2076" max="2304" width="3.625" style="290" customWidth="1"/>
    <col min="2305" max="2305" width="0.875" style="290" customWidth="1"/>
    <col min="2306" max="2306" width="2.875" style="290" customWidth="1"/>
    <col min="2307" max="2312" width="3.625" style="290" customWidth="1"/>
    <col min="2313" max="2313" width="3.25" style="290" customWidth="1"/>
    <col min="2314" max="2328" width="3.625" style="290" customWidth="1"/>
    <col min="2329" max="2329" width="2.875" style="290" customWidth="1"/>
    <col min="2330" max="2330" width="4.375" style="290" customWidth="1"/>
    <col min="2331" max="2331" width="1.375" style="290" customWidth="1"/>
    <col min="2332" max="2560" width="3.625" style="290" customWidth="1"/>
    <col min="2561" max="2561" width="0.875" style="290" customWidth="1"/>
    <col min="2562" max="2562" width="2.875" style="290" customWidth="1"/>
    <col min="2563" max="2568" width="3.625" style="290" customWidth="1"/>
    <col min="2569" max="2569" width="3.25" style="290" customWidth="1"/>
    <col min="2570" max="2584" width="3.625" style="290" customWidth="1"/>
    <col min="2585" max="2585" width="2.875" style="290" customWidth="1"/>
    <col min="2586" max="2586" width="4.375" style="290" customWidth="1"/>
    <col min="2587" max="2587" width="1.375" style="290" customWidth="1"/>
    <col min="2588" max="2816" width="3.625" style="290" customWidth="1"/>
    <col min="2817" max="2817" width="0.875" style="290" customWidth="1"/>
    <col min="2818" max="2818" width="2.875" style="290" customWidth="1"/>
    <col min="2819" max="2824" width="3.625" style="290" customWidth="1"/>
    <col min="2825" max="2825" width="3.25" style="290" customWidth="1"/>
    <col min="2826" max="2840" width="3.625" style="290" customWidth="1"/>
    <col min="2841" max="2841" width="2.875" style="290" customWidth="1"/>
    <col min="2842" max="2842" width="4.375" style="290" customWidth="1"/>
    <col min="2843" max="2843" width="1.375" style="290" customWidth="1"/>
    <col min="2844" max="3072" width="3.625" style="290" customWidth="1"/>
    <col min="3073" max="3073" width="0.875" style="290" customWidth="1"/>
    <col min="3074" max="3074" width="2.875" style="290" customWidth="1"/>
    <col min="3075" max="3080" width="3.625" style="290" customWidth="1"/>
    <col min="3081" max="3081" width="3.25" style="290" customWidth="1"/>
    <col min="3082" max="3096" width="3.625" style="290" customWidth="1"/>
    <col min="3097" max="3097" width="2.875" style="290" customWidth="1"/>
    <col min="3098" max="3098" width="4.375" style="290" customWidth="1"/>
    <col min="3099" max="3099" width="1.375" style="290" customWidth="1"/>
    <col min="3100" max="3328" width="3.625" style="290" customWidth="1"/>
    <col min="3329" max="3329" width="0.875" style="290" customWidth="1"/>
    <col min="3330" max="3330" width="2.875" style="290" customWidth="1"/>
    <col min="3331" max="3336" width="3.625" style="290" customWidth="1"/>
    <col min="3337" max="3337" width="3.25" style="290" customWidth="1"/>
    <col min="3338" max="3352" width="3.625" style="290" customWidth="1"/>
    <col min="3353" max="3353" width="2.875" style="290" customWidth="1"/>
    <col min="3354" max="3354" width="4.375" style="290" customWidth="1"/>
    <col min="3355" max="3355" width="1.375" style="290" customWidth="1"/>
    <col min="3356" max="3584" width="3.625" style="290" customWidth="1"/>
    <col min="3585" max="3585" width="0.875" style="290" customWidth="1"/>
    <col min="3586" max="3586" width="2.875" style="290" customWidth="1"/>
    <col min="3587" max="3592" width="3.625" style="290" customWidth="1"/>
    <col min="3593" max="3593" width="3.25" style="290" customWidth="1"/>
    <col min="3594" max="3608" width="3.625" style="290" customWidth="1"/>
    <col min="3609" max="3609" width="2.875" style="290" customWidth="1"/>
    <col min="3610" max="3610" width="4.375" style="290" customWidth="1"/>
    <col min="3611" max="3611" width="1.375" style="290" customWidth="1"/>
    <col min="3612" max="3840" width="3.625" style="290" customWidth="1"/>
    <col min="3841" max="3841" width="0.875" style="290" customWidth="1"/>
    <col min="3842" max="3842" width="2.875" style="290" customWidth="1"/>
    <col min="3843" max="3848" width="3.625" style="290" customWidth="1"/>
    <col min="3849" max="3849" width="3.25" style="290" customWidth="1"/>
    <col min="3850" max="3864" width="3.625" style="290" customWidth="1"/>
    <col min="3865" max="3865" width="2.875" style="290" customWidth="1"/>
    <col min="3866" max="3866" width="4.375" style="290" customWidth="1"/>
    <col min="3867" max="3867" width="1.375" style="290" customWidth="1"/>
    <col min="3868" max="4096" width="3.625" style="290" customWidth="1"/>
    <col min="4097" max="4097" width="0.875" style="290" customWidth="1"/>
    <col min="4098" max="4098" width="2.875" style="290" customWidth="1"/>
    <col min="4099" max="4104" width="3.625" style="290" customWidth="1"/>
    <col min="4105" max="4105" width="3.25" style="290" customWidth="1"/>
    <col min="4106" max="4120" width="3.625" style="290" customWidth="1"/>
    <col min="4121" max="4121" width="2.875" style="290" customWidth="1"/>
    <col min="4122" max="4122" width="4.375" style="290" customWidth="1"/>
    <col min="4123" max="4123" width="1.375" style="290" customWidth="1"/>
    <col min="4124" max="4352" width="3.625" style="290" customWidth="1"/>
    <col min="4353" max="4353" width="0.875" style="290" customWidth="1"/>
    <col min="4354" max="4354" width="2.875" style="290" customWidth="1"/>
    <col min="4355" max="4360" width="3.625" style="290" customWidth="1"/>
    <col min="4361" max="4361" width="3.25" style="290" customWidth="1"/>
    <col min="4362" max="4376" width="3.625" style="290" customWidth="1"/>
    <col min="4377" max="4377" width="2.875" style="290" customWidth="1"/>
    <col min="4378" max="4378" width="4.375" style="290" customWidth="1"/>
    <col min="4379" max="4379" width="1.375" style="290" customWidth="1"/>
    <col min="4380" max="4608" width="3.625" style="290" customWidth="1"/>
    <col min="4609" max="4609" width="0.875" style="290" customWidth="1"/>
    <col min="4610" max="4610" width="2.875" style="290" customWidth="1"/>
    <col min="4611" max="4616" width="3.625" style="290" customWidth="1"/>
    <col min="4617" max="4617" width="3.25" style="290" customWidth="1"/>
    <col min="4618" max="4632" width="3.625" style="290" customWidth="1"/>
    <col min="4633" max="4633" width="2.875" style="290" customWidth="1"/>
    <col min="4634" max="4634" width="4.375" style="290" customWidth="1"/>
    <col min="4635" max="4635" width="1.375" style="290" customWidth="1"/>
    <col min="4636" max="4864" width="3.625" style="290" customWidth="1"/>
    <col min="4865" max="4865" width="0.875" style="290" customWidth="1"/>
    <col min="4866" max="4866" width="2.875" style="290" customWidth="1"/>
    <col min="4867" max="4872" width="3.625" style="290" customWidth="1"/>
    <col min="4873" max="4873" width="3.25" style="290" customWidth="1"/>
    <col min="4874" max="4888" width="3.625" style="290" customWidth="1"/>
    <col min="4889" max="4889" width="2.875" style="290" customWidth="1"/>
    <col min="4890" max="4890" width="4.375" style="290" customWidth="1"/>
    <col min="4891" max="4891" width="1.375" style="290" customWidth="1"/>
    <col min="4892" max="5120" width="3.625" style="290" customWidth="1"/>
    <col min="5121" max="5121" width="0.875" style="290" customWidth="1"/>
    <col min="5122" max="5122" width="2.875" style="290" customWidth="1"/>
    <col min="5123" max="5128" width="3.625" style="290" customWidth="1"/>
    <col min="5129" max="5129" width="3.25" style="290" customWidth="1"/>
    <col min="5130" max="5144" width="3.625" style="290" customWidth="1"/>
    <col min="5145" max="5145" width="2.875" style="290" customWidth="1"/>
    <col min="5146" max="5146" width="4.375" style="290" customWidth="1"/>
    <col min="5147" max="5147" width="1.375" style="290" customWidth="1"/>
    <col min="5148" max="5376" width="3.625" style="290" customWidth="1"/>
    <col min="5377" max="5377" width="0.875" style="290" customWidth="1"/>
    <col min="5378" max="5378" width="2.875" style="290" customWidth="1"/>
    <col min="5379" max="5384" width="3.625" style="290" customWidth="1"/>
    <col min="5385" max="5385" width="3.25" style="290" customWidth="1"/>
    <col min="5386" max="5400" width="3.625" style="290" customWidth="1"/>
    <col min="5401" max="5401" width="2.875" style="290" customWidth="1"/>
    <col min="5402" max="5402" width="4.375" style="290" customWidth="1"/>
    <col min="5403" max="5403" width="1.375" style="290" customWidth="1"/>
    <col min="5404" max="5632" width="3.625" style="290" customWidth="1"/>
    <col min="5633" max="5633" width="0.875" style="290" customWidth="1"/>
    <col min="5634" max="5634" width="2.875" style="290" customWidth="1"/>
    <col min="5635" max="5640" width="3.625" style="290" customWidth="1"/>
    <col min="5641" max="5641" width="3.25" style="290" customWidth="1"/>
    <col min="5642" max="5656" width="3.625" style="290" customWidth="1"/>
    <col min="5657" max="5657" width="2.875" style="290" customWidth="1"/>
    <col min="5658" max="5658" width="4.375" style="290" customWidth="1"/>
    <col min="5659" max="5659" width="1.375" style="290" customWidth="1"/>
    <col min="5660" max="5888" width="3.625" style="290" customWidth="1"/>
    <col min="5889" max="5889" width="0.875" style="290" customWidth="1"/>
    <col min="5890" max="5890" width="2.875" style="290" customWidth="1"/>
    <col min="5891" max="5896" width="3.625" style="290" customWidth="1"/>
    <col min="5897" max="5897" width="3.25" style="290" customWidth="1"/>
    <col min="5898" max="5912" width="3.625" style="290" customWidth="1"/>
    <col min="5913" max="5913" width="2.875" style="290" customWidth="1"/>
    <col min="5914" max="5914" width="4.375" style="290" customWidth="1"/>
    <col min="5915" max="5915" width="1.375" style="290" customWidth="1"/>
    <col min="5916" max="6144" width="3.625" style="290" customWidth="1"/>
    <col min="6145" max="6145" width="0.875" style="290" customWidth="1"/>
    <col min="6146" max="6146" width="2.875" style="290" customWidth="1"/>
    <col min="6147" max="6152" width="3.625" style="290" customWidth="1"/>
    <col min="6153" max="6153" width="3.25" style="290" customWidth="1"/>
    <col min="6154" max="6168" width="3.625" style="290" customWidth="1"/>
    <col min="6169" max="6169" width="2.875" style="290" customWidth="1"/>
    <col min="6170" max="6170" width="4.375" style="290" customWidth="1"/>
    <col min="6171" max="6171" width="1.375" style="290" customWidth="1"/>
    <col min="6172" max="6400" width="3.625" style="290" customWidth="1"/>
    <col min="6401" max="6401" width="0.875" style="290" customWidth="1"/>
    <col min="6402" max="6402" width="2.875" style="290" customWidth="1"/>
    <col min="6403" max="6408" width="3.625" style="290" customWidth="1"/>
    <col min="6409" max="6409" width="3.25" style="290" customWidth="1"/>
    <col min="6410" max="6424" width="3.625" style="290" customWidth="1"/>
    <col min="6425" max="6425" width="2.875" style="290" customWidth="1"/>
    <col min="6426" max="6426" width="4.375" style="290" customWidth="1"/>
    <col min="6427" max="6427" width="1.375" style="290" customWidth="1"/>
    <col min="6428" max="6656" width="3.625" style="290" customWidth="1"/>
    <col min="6657" max="6657" width="0.875" style="290" customWidth="1"/>
    <col min="6658" max="6658" width="2.875" style="290" customWidth="1"/>
    <col min="6659" max="6664" width="3.625" style="290" customWidth="1"/>
    <col min="6665" max="6665" width="3.25" style="290" customWidth="1"/>
    <col min="6666" max="6680" width="3.625" style="290" customWidth="1"/>
    <col min="6681" max="6681" width="2.875" style="290" customWidth="1"/>
    <col min="6682" max="6682" width="4.375" style="290" customWidth="1"/>
    <col min="6683" max="6683" width="1.375" style="290" customWidth="1"/>
    <col min="6684" max="6912" width="3.625" style="290" customWidth="1"/>
    <col min="6913" max="6913" width="0.875" style="290" customWidth="1"/>
    <col min="6914" max="6914" width="2.875" style="290" customWidth="1"/>
    <col min="6915" max="6920" width="3.625" style="290" customWidth="1"/>
    <col min="6921" max="6921" width="3.25" style="290" customWidth="1"/>
    <col min="6922" max="6936" width="3.625" style="290" customWidth="1"/>
    <col min="6937" max="6937" width="2.875" style="290" customWidth="1"/>
    <col min="6938" max="6938" width="4.375" style="290" customWidth="1"/>
    <col min="6939" max="6939" width="1.375" style="290" customWidth="1"/>
    <col min="6940" max="7168" width="3.625" style="290" customWidth="1"/>
    <col min="7169" max="7169" width="0.875" style="290" customWidth="1"/>
    <col min="7170" max="7170" width="2.875" style="290" customWidth="1"/>
    <col min="7171" max="7176" width="3.625" style="290" customWidth="1"/>
    <col min="7177" max="7177" width="3.25" style="290" customWidth="1"/>
    <col min="7178" max="7192" width="3.625" style="290" customWidth="1"/>
    <col min="7193" max="7193" width="2.875" style="290" customWidth="1"/>
    <col min="7194" max="7194" width="4.375" style="290" customWidth="1"/>
    <col min="7195" max="7195" width="1.375" style="290" customWidth="1"/>
    <col min="7196" max="7424" width="3.625" style="290" customWidth="1"/>
    <col min="7425" max="7425" width="0.875" style="290" customWidth="1"/>
    <col min="7426" max="7426" width="2.875" style="290" customWidth="1"/>
    <col min="7427" max="7432" width="3.625" style="290" customWidth="1"/>
    <col min="7433" max="7433" width="3.25" style="290" customWidth="1"/>
    <col min="7434" max="7448" width="3.625" style="290" customWidth="1"/>
    <col min="7449" max="7449" width="2.875" style="290" customWidth="1"/>
    <col min="7450" max="7450" width="4.375" style="290" customWidth="1"/>
    <col min="7451" max="7451" width="1.375" style="290" customWidth="1"/>
    <col min="7452" max="7680" width="3.625" style="290" customWidth="1"/>
    <col min="7681" max="7681" width="0.875" style="290" customWidth="1"/>
    <col min="7682" max="7682" width="2.875" style="290" customWidth="1"/>
    <col min="7683" max="7688" width="3.625" style="290" customWidth="1"/>
    <col min="7689" max="7689" width="3.25" style="290" customWidth="1"/>
    <col min="7690" max="7704" width="3.625" style="290" customWidth="1"/>
    <col min="7705" max="7705" width="2.875" style="290" customWidth="1"/>
    <col min="7706" max="7706" width="4.375" style="290" customWidth="1"/>
    <col min="7707" max="7707" width="1.375" style="290" customWidth="1"/>
    <col min="7708" max="7936" width="3.625" style="290" customWidth="1"/>
    <col min="7937" max="7937" width="0.875" style="290" customWidth="1"/>
    <col min="7938" max="7938" width="2.875" style="290" customWidth="1"/>
    <col min="7939" max="7944" width="3.625" style="290" customWidth="1"/>
    <col min="7945" max="7945" width="3.25" style="290" customWidth="1"/>
    <col min="7946" max="7960" width="3.625" style="290" customWidth="1"/>
    <col min="7961" max="7961" width="2.875" style="290" customWidth="1"/>
    <col min="7962" max="7962" width="4.375" style="290" customWidth="1"/>
    <col min="7963" max="7963" width="1.375" style="290" customWidth="1"/>
    <col min="7964" max="8192" width="3.625" style="290" customWidth="1"/>
    <col min="8193" max="8193" width="0.875" style="290" customWidth="1"/>
    <col min="8194" max="8194" width="2.875" style="290" customWidth="1"/>
    <col min="8195" max="8200" width="3.625" style="290" customWidth="1"/>
    <col min="8201" max="8201" width="3.25" style="290" customWidth="1"/>
    <col min="8202" max="8216" width="3.625" style="290" customWidth="1"/>
    <col min="8217" max="8217" width="2.875" style="290" customWidth="1"/>
    <col min="8218" max="8218" width="4.375" style="290" customWidth="1"/>
    <col min="8219" max="8219" width="1.375" style="290" customWidth="1"/>
    <col min="8220" max="8448" width="3.625" style="290" customWidth="1"/>
    <col min="8449" max="8449" width="0.875" style="290" customWidth="1"/>
    <col min="8450" max="8450" width="2.875" style="290" customWidth="1"/>
    <col min="8451" max="8456" width="3.625" style="290" customWidth="1"/>
    <col min="8457" max="8457" width="3.25" style="290" customWidth="1"/>
    <col min="8458" max="8472" width="3.625" style="290" customWidth="1"/>
    <col min="8473" max="8473" width="2.875" style="290" customWidth="1"/>
    <col min="8474" max="8474" width="4.375" style="290" customWidth="1"/>
    <col min="8475" max="8475" width="1.375" style="290" customWidth="1"/>
    <col min="8476" max="8704" width="3.625" style="290" customWidth="1"/>
    <col min="8705" max="8705" width="0.875" style="290" customWidth="1"/>
    <col min="8706" max="8706" width="2.875" style="290" customWidth="1"/>
    <col min="8707" max="8712" width="3.625" style="290" customWidth="1"/>
    <col min="8713" max="8713" width="3.25" style="290" customWidth="1"/>
    <col min="8714" max="8728" width="3.625" style="290" customWidth="1"/>
    <col min="8729" max="8729" width="2.875" style="290" customWidth="1"/>
    <col min="8730" max="8730" width="4.375" style="290" customWidth="1"/>
    <col min="8731" max="8731" width="1.375" style="290" customWidth="1"/>
    <col min="8732" max="8960" width="3.625" style="290" customWidth="1"/>
    <col min="8961" max="8961" width="0.875" style="290" customWidth="1"/>
    <col min="8962" max="8962" width="2.875" style="290" customWidth="1"/>
    <col min="8963" max="8968" width="3.625" style="290" customWidth="1"/>
    <col min="8969" max="8969" width="3.25" style="290" customWidth="1"/>
    <col min="8970" max="8984" width="3.625" style="290" customWidth="1"/>
    <col min="8985" max="8985" width="2.875" style="290" customWidth="1"/>
    <col min="8986" max="8986" width="4.375" style="290" customWidth="1"/>
    <col min="8987" max="8987" width="1.375" style="290" customWidth="1"/>
    <col min="8988" max="9216" width="3.625" style="290" customWidth="1"/>
    <col min="9217" max="9217" width="0.875" style="290" customWidth="1"/>
    <col min="9218" max="9218" width="2.875" style="290" customWidth="1"/>
    <col min="9219" max="9224" width="3.625" style="290" customWidth="1"/>
    <col min="9225" max="9225" width="3.25" style="290" customWidth="1"/>
    <col min="9226" max="9240" width="3.625" style="290" customWidth="1"/>
    <col min="9241" max="9241" width="2.875" style="290" customWidth="1"/>
    <col min="9242" max="9242" width="4.375" style="290" customWidth="1"/>
    <col min="9243" max="9243" width="1.375" style="290" customWidth="1"/>
    <col min="9244" max="9472" width="3.625" style="290" customWidth="1"/>
    <col min="9473" max="9473" width="0.875" style="290" customWidth="1"/>
    <col min="9474" max="9474" width="2.875" style="290" customWidth="1"/>
    <col min="9475" max="9480" width="3.625" style="290" customWidth="1"/>
    <col min="9481" max="9481" width="3.25" style="290" customWidth="1"/>
    <col min="9482" max="9496" width="3.625" style="290" customWidth="1"/>
    <col min="9497" max="9497" width="2.875" style="290" customWidth="1"/>
    <col min="9498" max="9498" width="4.375" style="290" customWidth="1"/>
    <col min="9499" max="9499" width="1.375" style="290" customWidth="1"/>
    <col min="9500" max="9728" width="3.625" style="290" customWidth="1"/>
    <col min="9729" max="9729" width="0.875" style="290" customWidth="1"/>
    <col min="9730" max="9730" width="2.875" style="290" customWidth="1"/>
    <col min="9731" max="9736" width="3.625" style="290" customWidth="1"/>
    <col min="9737" max="9737" width="3.25" style="290" customWidth="1"/>
    <col min="9738" max="9752" width="3.625" style="290" customWidth="1"/>
    <col min="9753" max="9753" width="2.875" style="290" customWidth="1"/>
    <col min="9754" max="9754" width="4.375" style="290" customWidth="1"/>
    <col min="9755" max="9755" width="1.375" style="290" customWidth="1"/>
    <col min="9756" max="9984" width="3.625" style="290" customWidth="1"/>
    <col min="9985" max="9985" width="0.875" style="290" customWidth="1"/>
    <col min="9986" max="9986" width="2.875" style="290" customWidth="1"/>
    <col min="9987" max="9992" width="3.625" style="290" customWidth="1"/>
    <col min="9993" max="9993" width="3.25" style="290" customWidth="1"/>
    <col min="9994" max="10008" width="3.625" style="290" customWidth="1"/>
    <col min="10009" max="10009" width="2.875" style="290" customWidth="1"/>
    <col min="10010" max="10010" width="4.375" style="290" customWidth="1"/>
    <col min="10011" max="10011" width="1.375" style="290" customWidth="1"/>
    <col min="10012" max="10240" width="3.625" style="290" customWidth="1"/>
    <col min="10241" max="10241" width="0.875" style="290" customWidth="1"/>
    <col min="10242" max="10242" width="2.875" style="290" customWidth="1"/>
    <col min="10243" max="10248" width="3.625" style="290" customWidth="1"/>
    <col min="10249" max="10249" width="3.25" style="290" customWidth="1"/>
    <col min="10250" max="10264" width="3.625" style="290" customWidth="1"/>
    <col min="10265" max="10265" width="2.875" style="290" customWidth="1"/>
    <col min="10266" max="10266" width="4.375" style="290" customWidth="1"/>
    <col min="10267" max="10267" width="1.375" style="290" customWidth="1"/>
    <col min="10268" max="10496" width="3.625" style="290" customWidth="1"/>
    <col min="10497" max="10497" width="0.875" style="290" customWidth="1"/>
    <col min="10498" max="10498" width="2.875" style="290" customWidth="1"/>
    <col min="10499" max="10504" width="3.625" style="290" customWidth="1"/>
    <col min="10505" max="10505" width="3.25" style="290" customWidth="1"/>
    <col min="10506" max="10520" width="3.625" style="290" customWidth="1"/>
    <col min="10521" max="10521" width="2.875" style="290" customWidth="1"/>
    <col min="10522" max="10522" width="4.375" style="290" customWidth="1"/>
    <col min="10523" max="10523" width="1.375" style="290" customWidth="1"/>
    <col min="10524" max="10752" width="3.625" style="290" customWidth="1"/>
    <col min="10753" max="10753" width="0.875" style="290" customWidth="1"/>
    <col min="10754" max="10754" width="2.875" style="290" customWidth="1"/>
    <col min="10755" max="10760" width="3.625" style="290" customWidth="1"/>
    <col min="10761" max="10761" width="3.25" style="290" customWidth="1"/>
    <col min="10762" max="10776" width="3.625" style="290" customWidth="1"/>
    <col min="10777" max="10777" width="2.875" style="290" customWidth="1"/>
    <col min="10778" max="10778" width="4.375" style="290" customWidth="1"/>
    <col min="10779" max="10779" width="1.375" style="290" customWidth="1"/>
    <col min="10780" max="11008" width="3.625" style="290" customWidth="1"/>
    <col min="11009" max="11009" width="0.875" style="290" customWidth="1"/>
    <col min="11010" max="11010" width="2.875" style="290" customWidth="1"/>
    <col min="11011" max="11016" width="3.625" style="290" customWidth="1"/>
    <col min="11017" max="11017" width="3.25" style="290" customWidth="1"/>
    <col min="11018" max="11032" width="3.625" style="290" customWidth="1"/>
    <col min="11033" max="11033" width="2.875" style="290" customWidth="1"/>
    <col min="11034" max="11034" width="4.375" style="290" customWidth="1"/>
    <col min="11035" max="11035" width="1.375" style="290" customWidth="1"/>
    <col min="11036" max="11264" width="3.625" style="290" customWidth="1"/>
    <col min="11265" max="11265" width="0.875" style="290" customWidth="1"/>
    <col min="11266" max="11266" width="2.875" style="290" customWidth="1"/>
    <col min="11267" max="11272" width="3.625" style="290" customWidth="1"/>
    <col min="11273" max="11273" width="3.25" style="290" customWidth="1"/>
    <col min="11274" max="11288" width="3.625" style="290" customWidth="1"/>
    <col min="11289" max="11289" width="2.875" style="290" customWidth="1"/>
    <col min="11290" max="11290" width="4.375" style="290" customWidth="1"/>
    <col min="11291" max="11291" width="1.375" style="290" customWidth="1"/>
    <col min="11292" max="11520" width="3.625" style="290" customWidth="1"/>
    <col min="11521" max="11521" width="0.875" style="290" customWidth="1"/>
    <col min="11522" max="11522" width="2.875" style="290" customWidth="1"/>
    <col min="11523" max="11528" width="3.625" style="290" customWidth="1"/>
    <col min="11529" max="11529" width="3.25" style="290" customWidth="1"/>
    <col min="11530" max="11544" width="3.625" style="290" customWidth="1"/>
    <col min="11545" max="11545" width="2.875" style="290" customWidth="1"/>
    <col min="11546" max="11546" width="4.375" style="290" customWidth="1"/>
    <col min="11547" max="11547" width="1.375" style="290" customWidth="1"/>
    <col min="11548" max="11776" width="3.625" style="290" customWidth="1"/>
    <col min="11777" max="11777" width="0.875" style="290" customWidth="1"/>
    <col min="11778" max="11778" width="2.875" style="290" customWidth="1"/>
    <col min="11779" max="11784" width="3.625" style="290" customWidth="1"/>
    <col min="11785" max="11785" width="3.25" style="290" customWidth="1"/>
    <col min="11786" max="11800" width="3.625" style="290" customWidth="1"/>
    <col min="11801" max="11801" width="2.875" style="290" customWidth="1"/>
    <col min="11802" max="11802" width="4.375" style="290" customWidth="1"/>
    <col min="11803" max="11803" width="1.375" style="290" customWidth="1"/>
    <col min="11804" max="12032" width="3.625" style="290" customWidth="1"/>
    <col min="12033" max="12033" width="0.875" style="290" customWidth="1"/>
    <col min="12034" max="12034" width="2.875" style="290" customWidth="1"/>
    <col min="12035" max="12040" width="3.625" style="290" customWidth="1"/>
    <col min="12041" max="12041" width="3.25" style="290" customWidth="1"/>
    <col min="12042" max="12056" width="3.625" style="290" customWidth="1"/>
    <col min="12057" max="12057" width="2.875" style="290" customWidth="1"/>
    <col min="12058" max="12058" width="4.375" style="290" customWidth="1"/>
    <col min="12059" max="12059" width="1.375" style="290" customWidth="1"/>
    <col min="12060" max="12288" width="3.625" style="290" customWidth="1"/>
    <col min="12289" max="12289" width="0.875" style="290" customWidth="1"/>
    <col min="12290" max="12290" width="2.875" style="290" customWidth="1"/>
    <col min="12291" max="12296" width="3.625" style="290" customWidth="1"/>
    <col min="12297" max="12297" width="3.25" style="290" customWidth="1"/>
    <col min="12298" max="12312" width="3.625" style="290" customWidth="1"/>
    <col min="12313" max="12313" width="2.875" style="290" customWidth="1"/>
    <col min="12314" max="12314" width="4.375" style="290" customWidth="1"/>
    <col min="12315" max="12315" width="1.375" style="290" customWidth="1"/>
    <col min="12316" max="12544" width="3.625" style="290" customWidth="1"/>
    <col min="12545" max="12545" width="0.875" style="290" customWidth="1"/>
    <col min="12546" max="12546" width="2.875" style="290" customWidth="1"/>
    <col min="12547" max="12552" width="3.625" style="290" customWidth="1"/>
    <col min="12553" max="12553" width="3.25" style="290" customWidth="1"/>
    <col min="12554" max="12568" width="3.625" style="290" customWidth="1"/>
    <col min="12569" max="12569" width="2.875" style="290" customWidth="1"/>
    <col min="12570" max="12570" width="4.375" style="290" customWidth="1"/>
    <col min="12571" max="12571" width="1.375" style="290" customWidth="1"/>
    <col min="12572" max="12800" width="3.625" style="290" customWidth="1"/>
    <col min="12801" max="12801" width="0.875" style="290" customWidth="1"/>
    <col min="12802" max="12802" width="2.875" style="290" customWidth="1"/>
    <col min="12803" max="12808" width="3.625" style="290" customWidth="1"/>
    <col min="12809" max="12809" width="3.25" style="290" customWidth="1"/>
    <col min="12810" max="12824" width="3.625" style="290" customWidth="1"/>
    <col min="12825" max="12825" width="2.875" style="290" customWidth="1"/>
    <col min="12826" max="12826" width="4.375" style="290" customWidth="1"/>
    <col min="12827" max="12827" width="1.375" style="290" customWidth="1"/>
    <col min="12828" max="13056" width="3.625" style="290" customWidth="1"/>
    <col min="13057" max="13057" width="0.875" style="290" customWidth="1"/>
    <col min="13058" max="13058" width="2.875" style="290" customWidth="1"/>
    <col min="13059" max="13064" width="3.625" style="290" customWidth="1"/>
    <col min="13065" max="13065" width="3.25" style="290" customWidth="1"/>
    <col min="13066" max="13080" width="3.625" style="290" customWidth="1"/>
    <col min="13081" max="13081" width="2.875" style="290" customWidth="1"/>
    <col min="13082" max="13082" width="4.375" style="290" customWidth="1"/>
    <col min="13083" max="13083" width="1.375" style="290" customWidth="1"/>
    <col min="13084" max="13312" width="3.625" style="290" customWidth="1"/>
    <col min="13313" max="13313" width="0.875" style="290" customWidth="1"/>
    <col min="13314" max="13314" width="2.875" style="290" customWidth="1"/>
    <col min="13315" max="13320" width="3.625" style="290" customWidth="1"/>
    <col min="13321" max="13321" width="3.25" style="290" customWidth="1"/>
    <col min="13322" max="13336" width="3.625" style="290" customWidth="1"/>
    <col min="13337" max="13337" width="2.875" style="290" customWidth="1"/>
    <col min="13338" max="13338" width="4.375" style="290" customWidth="1"/>
    <col min="13339" max="13339" width="1.375" style="290" customWidth="1"/>
    <col min="13340" max="13568" width="3.625" style="290" customWidth="1"/>
    <col min="13569" max="13569" width="0.875" style="290" customWidth="1"/>
    <col min="13570" max="13570" width="2.875" style="290" customWidth="1"/>
    <col min="13571" max="13576" width="3.625" style="290" customWidth="1"/>
    <col min="13577" max="13577" width="3.25" style="290" customWidth="1"/>
    <col min="13578" max="13592" width="3.625" style="290" customWidth="1"/>
    <col min="13593" max="13593" width="2.875" style="290" customWidth="1"/>
    <col min="13594" max="13594" width="4.375" style="290" customWidth="1"/>
    <col min="13595" max="13595" width="1.375" style="290" customWidth="1"/>
    <col min="13596" max="13824" width="3.625" style="290" customWidth="1"/>
    <col min="13825" max="13825" width="0.875" style="290" customWidth="1"/>
    <col min="13826" max="13826" width="2.875" style="290" customWidth="1"/>
    <col min="13827" max="13832" width="3.625" style="290" customWidth="1"/>
    <col min="13833" max="13833" width="3.25" style="290" customWidth="1"/>
    <col min="13834" max="13848" width="3.625" style="290" customWidth="1"/>
    <col min="13849" max="13849" width="2.875" style="290" customWidth="1"/>
    <col min="13850" max="13850" width="4.375" style="290" customWidth="1"/>
    <col min="13851" max="13851" width="1.375" style="290" customWidth="1"/>
    <col min="13852" max="14080" width="3.625" style="290" customWidth="1"/>
    <col min="14081" max="14081" width="0.875" style="290" customWidth="1"/>
    <col min="14082" max="14082" width="2.875" style="290" customWidth="1"/>
    <col min="14083" max="14088" width="3.625" style="290" customWidth="1"/>
    <col min="14089" max="14089" width="3.25" style="290" customWidth="1"/>
    <col min="14090" max="14104" width="3.625" style="290" customWidth="1"/>
    <col min="14105" max="14105" width="2.875" style="290" customWidth="1"/>
    <col min="14106" max="14106" width="4.375" style="290" customWidth="1"/>
    <col min="14107" max="14107" width="1.375" style="290" customWidth="1"/>
    <col min="14108" max="14336" width="3.625" style="290" customWidth="1"/>
    <col min="14337" max="14337" width="0.875" style="290" customWidth="1"/>
    <col min="14338" max="14338" width="2.875" style="290" customWidth="1"/>
    <col min="14339" max="14344" width="3.625" style="290" customWidth="1"/>
    <col min="14345" max="14345" width="3.25" style="290" customWidth="1"/>
    <col min="14346" max="14360" width="3.625" style="290" customWidth="1"/>
    <col min="14361" max="14361" width="2.875" style="290" customWidth="1"/>
    <col min="14362" max="14362" width="4.375" style="290" customWidth="1"/>
    <col min="14363" max="14363" width="1.375" style="290" customWidth="1"/>
    <col min="14364" max="14592" width="3.625" style="290" customWidth="1"/>
    <col min="14593" max="14593" width="0.875" style="290" customWidth="1"/>
    <col min="14594" max="14594" width="2.875" style="290" customWidth="1"/>
    <col min="14595" max="14600" width="3.625" style="290" customWidth="1"/>
    <col min="14601" max="14601" width="3.25" style="290" customWidth="1"/>
    <col min="14602" max="14616" width="3.625" style="290" customWidth="1"/>
    <col min="14617" max="14617" width="2.875" style="290" customWidth="1"/>
    <col min="14618" max="14618" width="4.375" style="290" customWidth="1"/>
    <col min="14619" max="14619" width="1.375" style="290" customWidth="1"/>
    <col min="14620" max="14848" width="3.625" style="290" customWidth="1"/>
    <col min="14849" max="14849" width="0.875" style="290" customWidth="1"/>
    <col min="14850" max="14850" width="2.875" style="290" customWidth="1"/>
    <col min="14851" max="14856" width="3.625" style="290" customWidth="1"/>
    <col min="14857" max="14857" width="3.25" style="290" customWidth="1"/>
    <col min="14858" max="14872" width="3.625" style="290" customWidth="1"/>
    <col min="14873" max="14873" width="2.875" style="290" customWidth="1"/>
    <col min="14874" max="14874" width="4.375" style="290" customWidth="1"/>
    <col min="14875" max="14875" width="1.375" style="290" customWidth="1"/>
    <col min="14876" max="15104" width="3.625" style="290" customWidth="1"/>
    <col min="15105" max="15105" width="0.875" style="290" customWidth="1"/>
    <col min="15106" max="15106" width="2.875" style="290" customWidth="1"/>
    <col min="15107" max="15112" width="3.625" style="290" customWidth="1"/>
    <col min="15113" max="15113" width="3.25" style="290" customWidth="1"/>
    <col min="15114" max="15128" width="3.625" style="290" customWidth="1"/>
    <col min="15129" max="15129" width="2.875" style="290" customWidth="1"/>
    <col min="15130" max="15130" width="4.375" style="290" customWidth="1"/>
    <col min="15131" max="15131" width="1.375" style="290" customWidth="1"/>
    <col min="15132" max="15360" width="3.625" style="290" customWidth="1"/>
    <col min="15361" max="15361" width="0.875" style="290" customWidth="1"/>
    <col min="15362" max="15362" width="2.875" style="290" customWidth="1"/>
    <col min="15363" max="15368" width="3.625" style="290" customWidth="1"/>
    <col min="15369" max="15369" width="3.25" style="290" customWidth="1"/>
    <col min="15370" max="15384" width="3.625" style="290" customWidth="1"/>
    <col min="15385" max="15385" width="2.875" style="290" customWidth="1"/>
    <col min="15386" max="15386" width="4.375" style="290" customWidth="1"/>
    <col min="15387" max="15387" width="1.375" style="290" customWidth="1"/>
    <col min="15388" max="15616" width="3.625" style="290" customWidth="1"/>
    <col min="15617" max="15617" width="0.875" style="290" customWidth="1"/>
    <col min="15618" max="15618" width="2.875" style="290" customWidth="1"/>
    <col min="15619" max="15624" width="3.625" style="290" customWidth="1"/>
    <col min="15625" max="15625" width="3.25" style="290" customWidth="1"/>
    <col min="15626" max="15640" width="3.625" style="290" customWidth="1"/>
    <col min="15641" max="15641" width="2.875" style="290" customWidth="1"/>
    <col min="15642" max="15642" width="4.375" style="290" customWidth="1"/>
    <col min="15643" max="15643" width="1.375" style="290" customWidth="1"/>
    <col min="15644" max="15872" width="3.625" style="290" customWidth="1"/>
    <col min="15873" max="15873" width="0.875" style="290" customWidth="1"/>
    <col min="15874" max="15874" width="2.875" style="290" customWidth="1"/>
    <col min="15875" max="15880" width="3.625" style="290" customWidth="1"/>
    <col min="15881" max="15881" width="3.25" style="290" customWidth="1"/>
    <col min="15882" max="15896" width="3.625" style="290" customWidth="1"/>
    <col min="15897" max="15897" width="2.875" style="290" customWidth="1"/>
    <col min="15898" max="15898" width="4.375" style="290" customWidth="1"/>
    <col min="15899" max="15899" width="1.375" style="290" customWidth="1"/>
    <col min="15900" max="16128" width="3.625" style="290" customWidth="1"/>
    <col min="16129" max="16129" width="0.875" style="290" customWidth="1"/>
    <col min="16130" max="16130" width="2.875" style="290" customWidth="1"/>
    <col min="16131" max="16136" width="3.625" style="290" customWidth="1"/>
    <col min="16137" max="16137" width="3.25" style="290" customWidth="1"/>
    <col min="16138" max="16152" width="3.625" style="290" customWidth="1"/>
    <col min="16153" max="16153" width="2.875" style="290" customWidth="1"/>
    <col min="16154" max="16154" width="4.375" style="290" customWidth="1"/>
    <col min="16155" max="16155" width="1.375" style="290" customWidth="1"/>
    <col min="16156" max="16384" width="3.625" style="290" customWidth="1"/>
  </cols>
  <sheetData>
    <row r="1" spans="1:27" ht="15.75" customHeight="1">
      <c r="B1" s="291" t="s">
        <v>2807</v>
      </c>
    </row>
    <row r="2" spans="1:27" ht="15.75" customHeight="1">
      <c r="B2" s="722" t="s">
        <v>2808</v>
      </c>
      <c r="C2" s="722"/>
      <c r="D2" s="722"/>
      <c r="E2" s="722"/>
      <c r="F2" s="722"/>
      <c r="G2" s="722"/>
      <c r="H2" s="722"/>
      <c r="I2" s="722"/>
      <c r="J2" s="722"/>
      <c r="K2" s="722"/>
      <c r="L2" s="722"/>
      <c r="M2" s="722"/>
      <c r="N2" s="722"/>
      <c r="O2" s="722"/>
      <c r="P2" s="722"/>
      <c r="Q2" s="722"/>
      <c r="R2" s="722"/>
      <c r="S2" s="722"/>
      <c r="T2" s="722"/>
      <c r="U2" s="722"/>
      <c r="V2" s="722"/>
      <c r="W2" s="722"/>
      <c r="X2" s="722"/>
      <c r="Y2" s="722"/>
      <c r="Z2" s="722"/>
      <c r="AA2" s="722"/>
    </row>
    <row r="3" spans="1:27" ht="12" customHeight="1">
      <c r="T3" s="777"/>
      <c r="U3" s="777"/>
      <c r="V3" s="722" t="s">
        <v>464</v>
      </c>
      <c r="W3" s="777"/>
      <c r="X3" s="722" t="s">
        <v>1</v>
      </c>
      <c r="Y3" s="777"/>
      <c r="Z3" s="722" t="s">
        <v>465</v>
      </c>
    </row>
    <row r="4" spans="1:27" ht="12" customHeight="1">
      <c r="T4" s="777"/>
      <c r="U4" s="777"/>
      <c r="V4" s="722"/>
      <c r="W4" s="777"/>
      <c r="X4" s="722"/>
      <c r="Y4" s="777"/>
      <c r="Z4" s="722"/>
    </row>
    <row r="5" spans="1:27" ht="18" customHeight="1">
      <c r="B5" s="385" t="str">
        <f ca="1">cst_Pre_Corp__SHINSEI</f>
        <v>一般財団法人静岡県建築住宅まちづくりセンター</v>
      </c>
      <c r="C5" s="292"/>
      <c r="D5" s="292"/>
      <c r="E5" s="292"/>
      <c r="F5" s="292"/>
      <c r="G5" s="292"/>
      <c r="H5" s="292"/>
      <c r="I5" s="292"/>
      <c r="J5" s="292"/>
      <c r="K5" s="292"/>
    </row>
    <row r="6" spans="1:27" ht="18" customHeight="1">
      <c r="D6" s="385" t="str">
        <f ca="1">cst_Pre_Daihyou__SHINSEI</f>
        <v>理事長 　柳　敏幸</v>
      </c>
      <c r="L6" s="290" t="s">
        <v>2796</v>
      </c>
    </row>
    <row r="7" spans="1:27" ht="18" customHeight="1">
      <c r="M7" s="278"/>
      <c r="N7" s="278"/>
      <c r="O7" s="775" t="s">
        <v>2831</v>
      </c>
      <c r="P7" s="775"/>
      <c r="Q7" s="752" t="str">
        <f>cst_wskakunin_owner1__address</f>
        <v>静岡県静岡市葵区新伝馬二丁目8-41-101</v>
      </c>
      <c r="R7" s="752"/>
      <c r="S7" s="752"/>
      <c r="T7" s="752"/>
      <c r="U7" s="752"/>
      <c r="V7" s="752"/>
      <c r="W7" s="752"/>
      <c r="X7" s="752"/>
      <c r="Y7" s="752"/>
      <c r="Z7" s="752"/>
    </row>
    <row r="8" spans="1:27" ht="18" customHeight="1">
      <c r="M8" s="278"/>
      <c r="N8" s="280" t="s">
        <v>2797</v>
      </c>
      <c r="O8" s="278"/>
      <c r="P8" s="278"/>
      <c r="Q8" s="752"/>
      <c r="R8" s="752"/>
      <c r="S8" s="752"/>
      <c r="T8" s="752"/>
      <c r="U8" s="752"/>
      <c r="V8" s="752"/>
      <c r="W8" s="752"/>
      <c r="X8" s="752"/>
      <c r="Y8" s="752"/>
      <c r="Z8" s="752"/>
    </row>
    <row r="9" spans="1:27" ht="18" customHeight="1">
      <c r="M9" s="278"/>
      <c r="N9" s="278"/>
      <c r="O9" s="775" t="s">
        <v>3040</v>
      </c>
      <c r="P9" s="775"/>
      <c r="Q9" s="752" t="str">
        <f>cst_wskakunin_owner1__space3</f>
        <v>菅野　幸子</v>
      </c>
      <c r="R9" s="752"/>
      <c r="S9" s="752"/>
      <c r="T9" s="752"/>
      <c r="U9" s="752"/>
      <c r="V9" s="752"/>
      <c r="W9" s="752"/>
      <c r="X9" s="752"/>
      <c r="Y9" s="752"/>
      <c r="Z9" s="752"/>
    </row>
    <row r="10" spans="1:27" ht="16.5" customHeight="1">
      <c r="M10" s="278"/>
      <c r="N10" s="278"/>
      <c r="O10" s="278"/>
      <c r="P10" s="278"/>
      <c r="Q10" s="752"/>
      <c r="R10" s="752"/>
      <c r="S10" s="752"/>
      <c r="T10" s="752"/>
      <c r="U10" s="752"/>
      <c r="V10" s="752"/>
      <c r="W10" s="752"/>
      <c r="X10" s="752"/>
      <c r="Y10" s="752"/>
      <c r="Z10" s="752"/>
    </row>
    <row r="11" spans="1:27" ht="18" customHeight="1">
      <c r="B11" s="709" t="s">
        <v>3018</v>
      </c>
      <c r="C11" s="709"/>
      <c r="D11" s="709"/>
      <c r="E11" s="709"/>
      <c r="F11" s="709"/>
      <c r="G11" s="709"/>
      <c r="H11" s="709"/>
      <c r="I11" s="709"/>
      <c r="J11" s="709"/>
      <c r="K11" s="709"/>
      <c r="L11" s="709"/>
      <c r="M11" s="709"/>
      <c r="N11" s="709"/>
      <c r="O11" s="709"/>
      <c r="P11" s="709"/>
      <c r="Q11" s="709"/>
      <c r="R11" s="709"/>
      <c r="S11" s="709"/>
      <c r="T11" s="709"/>
      <c r="U11" s="709"/>
      <c r="V11" s="709"/>
      <c r="W11" s="709"/>
      <c r="X11" s="709"/>
      <c r="Y11" s="709"/>
      <c r="Z11" s="709"/>
    </row>
    <row r="12" spans="1:27" ht="18" customHeight="1">
      <c r="B12" s="709" t="s">
        <v>3019</v>
      </c>
      <c r="C12" s="709"/>
      <c r="D12" s="709"/>
      <c r="E12" s="709"/>
      <c r="F12" s="709"/>
      <c r="G12" s="709"/>
      <c r="H12" s="709"/>
      <c r="I12" s="709"/>
      <c r="J12" s="709"/>
      <c r="K12" s="709"/>
      <c r="L12" s="709"/>
      <c r="M12" s="709"/>
      <c r="N12" s="709"/>
      <c r="O12" s="709"/>
      <c r="P12" s="709"/>
      <c r="Q12" s="709"/>
      <c r="R12" s="709"/>
      <c r="S12" s="709"/>
      <c r="T12" s="709"/>
      <c r="U12" s="709"/>
      <c r="V12" s="709"/>
      <c r="W12" s="709"/>
      <c r="X12" s="709"/>
      <c r="Y12" s="709"/>
      <c r="Z12" s="709"/>
    </row>
    <row r="13" spans="1:27" ht="25.5" customHeight="1">
      <c r="A13" s="710" t="s">
        <v>2809</v>
      </c>
      <c r="B13" s="710"/>
      <c r="C13" s="710"/>
      <c r="D13" s="710"/>
      <c r="E13" s="710"/>
      <c r="F13" s="710"/>
      <c r="G13" s="710"/>
      <c r="H13" s="710"/>
      <c r="I13" s="439"/>
      <c r="J13" s="776">
        <f ca="1">cst_ISSUE_DATE_select</f>
        <v>44958</v>
      </c>
      <c r="K13" s="776"/>
      <c r="L13" s="440" t="s">
        <v>464</v>
      </c>
      <c r="M13" s="441">
        <f ca="1">cst_ISSUE_DATE_select</f>
        <v>44958</v>
      </c>
      <c r="N13" s="440" t="s">
        <v>1</v>
      </c>
      <c r="O13" s="442">
        <f ca="1">cst_ISSUE_DATE_select</f>
        <v>44958</v>
      </c>
      <c r="P13" s="440" t="s">
        <v>465</v>
      </c>
      <c r="Q13" s="440"/>
      <c r="R13" s="716" t="str">
        <f ca="1">IF(cst_ISSUE_NO_select="","第　　　　　　　号",IF(COUNTIF(cst_ISSUE_NO_select,"*第*")&gt;0,"","第")&amp;cst_ISSUE_NO_select&amp;IF(COUNTIF(cst_ISSUE_NO_select,"*号*")&gt;0,"","号"))</f>
        <v>第 2022確認建築静建住ま10505 号</v>
      </c>
      <c r="S13" s="716"/>
      <c r="T13" s="716"/>
      <c r="U13" s="716"/>
      <c r="V13" s="716"/>
      <c r="W13" s="716"/>
      <c r="X13" s="716"/>
      <c r="Y13" s="716"/>
      <c r="Z13" s="716"/>
      <c r="AA13" s="717"/>
    </row>
    <row r="14" spans="1:27" ht="25.5" customHeight="1">
      <c r="A14" s="710" t="s">
        <v>2810</v>
      </c>
      <c r="B14" s="710"/>
      <c r="C14" s="710"/>
      <c r="D14" s="710"/>
      <c r="E14" s="710"/>
      <c r="F14" s="710"/>
      <c r="G14" s="710"/>
      <c r="H14" s="710"/>
      <c r="I14" s="753" t="str">
        <f>cst_wskakunin_owner1__space</f>
        <v>菅野　幸子</v>
      </c>
      <c r="J14" s="754"/>
      <c r="K14" s="754"/>
      <c r="L14" s="754"/>
      <c r="M14" s="754"/>
      <c r="N14" s="754"/>
      <c r="O14" s="754"/>
      <c r="P14" s="754"/>
      <c r="Q14" s="754"/>
      <c r="R14" s="754"/>
      <c r="S14" s="754"/>
      <c r="T14" s="754"/>
      <c r="U14" s="754"/>
      <c r="V14" s="754"/>
      <c r="W14" s="754"/>
      <c r="X14" s="754"/>
      <c r="Y14" s="754"/>
      <c r="Z14" s="754"/>
      <c r="AA14" s="755"/>
    </row>
    <row r="15" spans="1:27" ht="26.25" customHeight="1">
      <c r="A15" s="710" t="s">
        <v>2811</v>
      </c>
      <c r="B15" s="710"/>
      <c r="C15" s="710"/>
      <c r="D15" s="710"/>
      <c r="E15" s="710"/>
      <c r="F15" s="710"/>
      <c r="G15" s="710"/>
      <c r="H15" s="710"/>
      <c r="I15" s="711" t="str">
        <f>cst_wskakunin_BUILD__address</f>
        <v>静岡県静岡市葵区平和二丁目215-8</v>
      </c>
      <c r="J15" s="712"/>
      <c r="K15" s="712"/>
      <c r="L15" s="712"/>
      <c r="M15" s="712"/>
      <c r="N15" s="712"/>
      <c r="O15" s="712"/>
      <c r="P15" s="712"/>
      <c r="Q15" s="712"/>
      <c r="R15" s="712"/>
      <c r="S15" s="712"/>
      <c r="T15" s="712"/>
      <c r="U15" s="712"/>
      <c r="V15" s="712"/>
      <c r="W15" s="712"/>
      <c r="X15" s="712"/>
      <c r="Y15" s="712"/>
      <c r="Z15" s="712"/>
      <c r="AA15" s="713"/>
    </row>
    <row r="16" spans="1:27" ht="26.25" customHeight="1">
      <c r="A16" s="710" t="s">
        <v>2812</v>
      </c>
      <c r="B16" s="710"/>
      <c r="C16" s="710"/>
      <c r="D16" s="710"/>
      <c r="E16" s="710"/>
      <c r="F16" s="710"/>
      <c r="G16" s="710"/>
      <c r="H16" s="710"/>
      <c r="I16" s="714" t="str">
        <f>cst_wskakunin_YOUTO</f>
        <v/>
      </c>
      <c r="J16" s="715"/>
      <c r="K16" s="715"/>
      <c r="L16" s="715"/>
      <c r="M16" s="715"/>
      <c r="N16" s="715"/>
      <c r="O16" s="715"/>
      <c r="P16" s="715"/>
      <c r="Q16" s="715"/>
      <c r="R16" s="716" t="str">
        <f>cst_wskakunin_KOUZOU</f>
        <v/>
      </c>
      <c r="S16" s="716"/>
      <c r="T16" s="716"/>
      <c r="U16" s="716"/>
      <c r="V16" s="716"/>
      <c r="W16" s="716"/>
      <c r="X16" s="716"/>
      <c r="Y16" s="716"/>
      <c r="Z16" s="716"/>
      <c r="AA16" s="717"/>
    </row>
    <row r="17" spans="1:27" ht="17.25" customHeight="1">
      <c r="A17" s="767" t="s">
        <v>2813</v>
      </c>
      <c r="B17" s="768"/>
      <c r="C17" s="737" t="s">
        <v>2814</v>
      </c>
      <c r="D17" s="740"/>
      <c r="E17" s="740"/>
      <c r="F17" s="740"/>
      <c r="G17" s="740"/>
      <c r="H17" s="770"/>
      <c r="I17" s="727" t="s">
        <v>2815</v>
      </c>
      <c r="J17" s="728" t="s">
        <v>2816</v>
      </c>
      <c r="K17" s="740"/>
      <c r="L17" s="740"/>
      <c r="M17" s="740"/>
      <c r="N17" s="740"/>
      <c r="O17" s="770"/>
      <c r="P17" s="756"/>
      <c r="Q17" s="757"/>
      <c r="R17" s="757"/>
      <c r="S17" s="757"/>
      <c r="T17" s="757"/>
      <c r="U17" s="757"/>
      <c r="V17" s="757"/>
      <c r="W17" s="757"/>
      <c r="X17" s="757"/>
      <c r="Y17" s="757"/>
      <c r="Z17" s="757"/>
      <c r="AA17" s="758"/>
    </row>
    <row r="18" spans="1:27" ht="18" customHeight="1">
      <c r="A18" s="721"/>
      <c r="B18" s="723"/>
      <c r="C18" s="741"/>
      <c r="D18" s="742"/>
      <c r="E18" s="742"/>
      <c r="F18" s="742"/>
      <c r="G18" s="742"/>
      <c r="H18" s="773"/>
      <c r="I18" s="724"/>
      <c r="J18" s="771"/>
      <c r="K18" s="771"/>
      <c r="L18" s="771"/>
      <c r="M18" s="771"/>
      <c r="N18" s="771"/>
      <c r="O18" s="772"/>
      <c r="P18" s="762"/>
      <c r="Q18" s="763"/>
      <c r="R18" s="763"/>
      <c r="S18" s="763"/>
      <c r="T18" s="763"/>
      <c r="U18" s="763"/>
      <c r="V18" s="763"/>
      <c r="W18" s="763"/>
      <c r="X18" s="763"/>
      <c r="Y18" s="763"/>
      <c r="Z18" s="763"/>
      <c r="AA18" s="764"/>
    </row>
    <row r="19" spans="1:27" ht="18" customHeight="1">
      <c r="A19" s="721"/>
      <c r="B19" s="723"/>
      <c r="C19" s="741"/>
      <c r="D19" s="742"/>
      <c r="E19" s="742"/>
      <c r="F19" s="742"/>
      <c r="G19" s="742"/>
      <c r="H19" s="773"/>
      <c r="I19" s="727" t="s">
        <v>2817</v>
      </c>
      <c r="J19" s="728" t="s">
        <v>2816</v>
      </c>
      <c r="K19" s="728"/>
      <c r="L19" s="728"/>
      <c r="M19" s="728"/>
      <c r="N19" s="728"/>
      <c r="O19" s="729"/>
      <c r="P19" s="756"/>
      <c r="Q19" s="757"/>
      <c r="R19" s="757"/>
      <c r="S19" s="757"/>
      <c r="T19" s="757"/>
      <c r="U19" s="757"/>
      <c r="V19" s="757"/>
      <c r="W19" s="757"/>
      <c r="X19" s="757"/>
      <c r="Y19" s="757"/>
      <c r="Z19" s="757"/>
      <c r="AA19" s="758"/>
    </row>
    <row r="20" spans="1:27" ht="17.25" customHeight="1">
      <c r="A20" s="721"/>
      <c r="B20" s="723"/>
      <c r="C20" s="774"/>
      <c r="D20" s="771"/>
      <c r="E20" s="771"/>
      <c r="F20" s="771"/>
      <c r="G20" s="771"/>
      <c r="H20" s="772"/>
      <c r="I20" s="724"/>
      <c r="J20" s="732"/>
      <c r="K20" s="732"/>
      <c r="L20" s="732"/>
      <c r="M20" s="732"/>
      <c r="N20" s="732"/>
      <c r="O20" s="733"/>
      <c r="P20" s="762"/>
      <c r="Q20" s="763"/>
      <c r="R20" s="763"/>
      <c r="S20" s="763"/>
      <c r="T20" s="763"/>
      <c r="U20" s="763"/>
      <c r="V20" s="763"/>
      <c r="W20" s="763"/>
      <c r="X20" s="763"/>
      <c r="Y20" s="763"/>
      <c r="Z20" s="763"/>
      <c r="AA20" s="764"/>
    </row>
    <row r="21" spans="1:27" ht="14.25" customHeight="1">
      <c r="A21" s="721"/>
      <c r="B21" s="723"/>
      <c r="C21" s="737" t="s">
        <v>2818</v>
      </c>
      <c r="D21" s="728"/>
      <c r="E21" s="728"/>
      <c r="F21" s="728"/>
      <c r="G21" s="728"/>
      <c r="H21" s="729"/>
      <c r="I21" s="727" t="s">
        <v>2815</v>
      </c>
      <c r="J21" s="728" t="s">
        <v>2819</v>
      </c>
      <c r="K21" s="728"/>
      <c r="L21" s="728"/>
      <c r="M21" s="728"/>
      <c r="N21" s="728"/>
      <c r="O21" s="729"/>
      <c r="P21" s="399" t="s">
        <v>2820</v>
      </c>
      <c r="Q21" s="399"/>
      <c r="R21" s="399"/>
      <c r="S21" s="399"/>
      <c r="T21" s="399"/>
      <c r="U21" s="399"/>
      <c r="V21" s="399"/>
      <c r="W21" s="399"/>
      <c r="X21" s="399"/>
      <c r="Y21" s="399"/>
      <c r="Z21" s="399"/>
      <c r="AA21" s="400"/>
    </row>
    <row r="22" spans="1:27" ht="14.25" customHeight="1">
      <c r="A22" s="721"/>
      <c r="B22" s="723"/>
      <c r="C22" s="738"/>
      <c r="D22" s="730"/>
      <c r="E22" s="730"/>
      <c r="F22" s="730"/>
      <c r="G22" s="730"/>
      <c r="H22" s="731"/>
      <c r="I22" s="721"/>
      <c r="J22" s="730"/>
      <c r="K22" s="730"/>
      <c r="L22" s="730"/>
      <c r="M22" s="730"/>
      <c r="N22" s="730"/>
      <c r="O22" s="731"/>
      <c r="P22" s="401" t="s">
        <v>2821</v>
      </c>
      <c r="Q22" s="401"/>
      <c r="R22" s="401"/>
      <c r="S22" s="401"/>
      <c r="T22" s="401"/>
      <c r="U22" s="401"/>
      <c r="V22" s="401"/>
      <c r="W22" s="401"/>
      <c r="X22" s="401"/>
      <c r="Y22" s="401"/>
      <c r="Z22" s="401"/>
      <c r="AA22" s="402"/>
    </row>
    <row r="23" spans="1:27" ht="14.25" customHeight="1">
      <c r="A23" s="721"/>
      <c r="B23" s="723"/>
      <c r="C23" s="738"/>
      <c r="D23" s="730"/>
      <c r="E23" s="730"/>
      <c r="F23" s="730"/>
      <c r="G23" s="730"/>
      <c r="H23" s="731"/>
      <c r="I23" s="721"/>
      <c r="J23" s="730"/>
      <c r="K23" s="730"/>
      <c r="L23" s="730"/>
      <c r="M23" s="730"/>
      <c r="N23" s="730"/>
      <c r="O23" s="731"/>
      <c r="P23" s="401"/>
      <c r="Q23" s="401"/>
      <c r="R23" s="401"/>
      <c r="S23" s="401"/>
      <c r="T23" s="401" t="s">
        <v>14</v>
      </c>
      <c r="U23" s="401"/>
      <c r="V23" s="401"/>
      <c r="W23" s="401"/>
      <c r="X23" s="401"/>
      <c r="Y23" s="401"/>
      <c r="Z23" s="401"/>
      <c r="AA23" s="402"/>
    </row>
    <row r="24" spans="1:27" ht="14.25" customHeight="1">
      <c r="A24" s="721"/>
      <c r="B24" s="723"/>
      <c r="C24" s="738"/>
      <c r="D24" s="730"/>
      <c r="E24" s="730"/>
      <c r="F24" s="730"/>
      <c r="G24" s="730"/>
      <c r="H24" s="731"/>
      <c r="I24" s="721"/>
      <c r="J24" s="732"/>
      <c r="K24" s="732"/>
      <c r="L24" s="732"/>
      <c r="M24" s="732"/>
      <c r="N24" s="732"/>
      <c r="O24" s="733"/>
      <c r="P24" s="401"/>
      <c r="Q24" s="401"/>
      <c r="R24" s="401"/>
      <c r="S24" s="401"/>
      <c r="T24" s="401"/>
      <c r="U24" s="401"/>
      <c r="V24" s="401"/>
      <c r="W24" s="401"/>
      <c r="X24" s="401"/>
      <c r="Y24" s="401"/>
      <c r="Z24" s="401"/>
      <c r="AA24" s="402"/>
    </row>
    <row r="25" spans="1:27" ht="14.25" customHeight="1">
      <c r="A25" s="721"/>
      <c r="B25" s="723"/>
      <c r="C25" s="738"/>
      <c r="D25" s="730"/>
      <c r="E25" s="730"/>
      <c r="F25" s="730"/>
      <c r="G25" s="730"/>
      <c r="H25" s="731"/>
      <c r="I25" s="727" t="s">
        <v>2817</v>
      </c>
      <c r="J25" s="728" t="s">
        <v>2819</v>
      </c>
      <c r="K25" s="728"/>
      <c r="L25" s="728"/>
      <c r="M25" s="728"/>
      <c r="N25" s="728"/>
      <c r="O25" s="729"/>
      <c r="P25" s="399" t="s">
        <v>2820</v>
      </c>
      <c r="Q25" s="399"/>
      <c r="R25" s="399"/>
      <c r="S25" s="399"/>
      <c r="T25" s="399"/>
      <c r="U25" s="399"/>
      <c r="V25" s="399"/>
      <c r="W25" s="399"/>
      <c r="X25" s="399"/>
      <c r="Y25" s="399"/>
      <c r="Z25" s="399"/>
      <c r="AA25" s="400"/>
    </row>
    <row r="26" spans="1:27" ht="14.25" customHeight="1">
      <c r="A26" s="721"/>
      <c r="B26" s="723"/>
      <c r="C26" s="738"/>
      <c r="D26" s="730"/>
      <c r="E26" s="730"/>
      <c r="F26" s="730"/>
      <c r="G26" s="730"/>
      <c r="H26" s="731"/>
      <c r="I26" s="721"/>
      <c r="J26" s="730"/>
      <c r="K26" s="730"/>
      <c r="L26" s="730"/>
      <c r="M26" s="730"/>
      <c r="N26" s="730"/>
      <c r="O26" s="731"/>
      <c r="P26" s="401" t="s">
        <v>2821</v>
      </c>
      <c r="Q26" s="401"/>
      <c r="R26" s="401"/>
      <c r="S26" s="401"/>
      <c r="T26" s="401"/>
      <c r="U26" s="401"/>
      <c r="V26" s="401"/>
      <c r="W26" s="401"/>
      <c r="X26" s="401"/>
      <c r="Y26" s="401"/>
      <c r="Z26" s="401"/>
      <c r="AA26" s="402"/>
    </row>
    <row r="27" spans="1:27" ht="14.25" customHeight="1">
      <c r="A27" s="721"/>
      <c r="B27" s="723"/>
      <c r="C27" s="738"/>
      <c r="D27" s="730"/>
      <c r="E27" s="730"/>
      <c r="F27" s="730"/>
      <c r="G27" s="730"/>
      <c r="H27" s="731"/>
      <c r="I27" s="721"/>
      <c r="J27" s="730"/>
      <c r="K27" s="730"/>
      <c r="L27" s="730"/>
      <c r="M27" s="730"/>
      <c r="N27" s="730"/>
      <c r="O27" s="731"/>
      <c r="P27" s="401"/>
      <c r="Q27" s="401"/>
      <c r="R27" s="401"/>
      <c r="S27" s="401"/>
      <c r="T27" s="401" t="s">
        <v>14</v>
      </c>
      <c r="U27" s="401"/>
      <c r="V27" s="401"/>
      <c r="W27" s="401"/>
      <c r="X27" s="401"/>
      <c r="Y27" s="401"/>
      <c r="Z27" s="401"/>
      <c r="AA27" s="402"/>
    </row>
    <row r="28" spans="1:27" ht="14.25" customHeight="1">
      <c r="A28" s="721"/>
      <c r="B28" s="723"/>
      <c r="C28" s="738"/>
      <c r="D28" s="730"/>
      <c r="E28" s="730"/>
      <c r="F28" s="730"/>
      <c r="G28" s="730"/>
      <c r="H28" s="731"/>
      <c r="I28" s="721"/>
      <c r="J28" s="732"/>
      <c r="K28" s="732"/>
      <c r="L28" s="732"/>
      <c r="M28" s="732"/>
      <c r="N28" s="732"/>
      <c r="O28" s="733"/>
      <c r="P28" s="401"/>
      <c r="Q28" s="401"/>
      <c r="R28" s="401"/>
      <c r="S28" s="401"/>
      <c r="T28" s="401"/>
      <c r="U28" s="401"/>
      <c r="V28" s="401"/>
      <c r="W28" s="401"/>
      <c r="X28" s="401"/>
      <c r="Y28" s="401"/>
      <c r="Z28" s="401"/>
      <c r="AA28" s="402"/>
    </row>
    <row r="29" spans="1:27" ht="15" customHeight="1">
      <c r="A29" s="721"/>
      <c r="B29" s="723"/>
      <c r="C29" s="737" t="s">
        <v>2822</v>
      </c>
      <c r="D29" s="728"/>
      <c r="E29" s="728"/>
      <c r="F29" s="728"/>
      <c r="G29" s="728"/>
      <c r="H29" s="729"/>
      <c r="I29" s="737" t="s">
        <v>2823</v>
      </c>
      <c r="J29" s="728"/>
      <c r="K29" s="728"/>
      <c r="L29" s="728"/>
      <c r="M29" s="728"/>
      <c r="N29" s="728"/>
      <c r="O29" s="729"/>
      <c r="P29" s="399" t="s">
        <v>2820</v>
      </c>
      <c r="Q29" s="399"/>
      <c r="R29" s="399"/>
      <c r="S29" s="399"/>
      <c r="T29" s="399"/>
      <c r="U29" s="399"/>
      <c r="V29" s="399"/>
      <c r="W29" s="399"/>
      <c r="X29" s="399"/>
      <c r="Y29" s="399"/>
      <c r="Z29" s="399"/>
      <c r="AA29" s="400"/>
    </row>
    <row r="30" spans="1:27" ht="15" customHeight="1">
      <c r="A30" s="721"/>
      <c r="B30" s="723"/>
      <c r="C30" s="738"/>
      <c r="D30" s="730"/>
      <c r="E30" s="730"/>
      <c r="F30" s="730"/>
      <c r="G30" s="730"/>
      <c r="H30" s="731"/>
      <c r="I30" s="738"/>
      <c r="J30" s="730"/>
      <c r="K30" s="730"/>
      <c r="L30" s="730"/>
      <c r="M30" s="730"/>
      <c r="N30" s="730"/>
      <c r="O30" s="731"/>
      <c r="P30" s="401" t="s">
        <v>2821</v>
      </c>
      <c r="Q30" s="401"/>
      <c r="R30" s="401"/>
      <c r="S30" s="401"/>
      <c r="T30" s="401"/>
      <c r="U30" s="401"/>
      <c r="V30" s="401"/>
      <c r="W30" s="401"/>
      <c r="X30" s="401"/>
      <c r="Y30" s="401"/>
      <c r="Z30" s="401"/>
      <c r="AA30" s="402"/>
    </row>
    <row r="31" spans="1:27" ht="15" customHeight="1">
      <c r="A31" s="721"/>
      <c r="B31" s="723"/>
      <c r="C31" s="738"/>
      <c r="D31" s="730"/>
      <c r="E31" s="730"/>
      <c r="F31" s="730"/>
      <c r="G31" s="730"/>
      <c r="H31" s="731"/>
      <c r="I31" s="738"/>
      <c r="J31" s="730"/>
      <c r="K31" s="730"/>
      <c r="L31" s="730"/>
      <c r="M31" s="730"/>
      <c r="N31" s="730"/>
      <c r="O31" s="731"/>
      <c r="P31" s="401"/>
      <c r="Q31" s="401"/>
      <c r="R31" s="401"/>
      <c r="S31" s="401"/>
      <c r="T31" s="401" t="s">
        <v>14</v>
      </c>
      <c r="U31" s="401"/>
      <c r="V31" s="401"/>
      <c r="W31" s="401"/>
      <c r="X31" s="401"/>
      <c r="Y31" s="401"/>
      <c r="Z31" s="401"/>
      <c r="AA31" s="402"/>
    </row>
    <row r="32" spans="1:27" ht="12.75" customHeight="1">
      <c r="A32" s="721"/>
      <c r="B32" s="723"/>
      <c r="C32" s="769"/>
      <c r="D32" s="732"/>
      <c r="E32" s="732"/>
      <c r="F32" s="732"/>
      <c r="G32" s="732"/>
      <c r="H32" s="733"/>
      <c r="I32" s="769"/>
      <c r="J32" s="732"/>
      <c r="K32" s="732"/>
      <c r="L32" s="732"/>
      <c r="M32" s="732"/>
      <c r="N32" s="732"/>
      <c r="O32" s="733"/>
      <c r="P32" s="401"/>
      <c r="Q32" s="401"/>
      <c r="R32" s="401"/>
      <c r="S32" s="401"/>
      <c r="T32" s="401"/>
      <c r="U32" s="401"/>
      <c r="V32" s="401"/>
      <c r="W32" s="401"/>
      <c r="X32" s="401"/>
      <c r="Y32" s="401"/>
      <c r="Z32" s="401"/>
      <c r="AA32" s="403"/>
    </row>
    <row r="33" spans="1:27" ht="12.75" customHeight="1">
      <c r="A33" s="721"/>
      <c r="B33" s="723"/>
      <c r="C33" s="737" t="s">
        <v>2824</v>
      </c>
      <c r="D33" s="728"/>
      <c r="E33" s="728"/>
      <c r="F33" s="728"/>
      <c r="G33" s="728"/>
      <c r="H33" s="729"/>
      <c r="I33" s="737" t="s">
        <v>2825</v>
      </c>
      <c r="J33" s="728"/>
      <c r="K33" s="728"/>
      <c r="L33" s="728"/>
      <c r="M33" s="728"/>
      <c r="N33" s="728"/>
      <c r="O33" s="729"/>
      <c r="P33" s="399"/>
      <c r="Q33" s="399"/>
      <c r="R33" s="399"/>
      <c r="S33" s="399"/>
      <c r="T33" s="399"/>
      <c r="U33" s="399"/>
      <c r="V33" s="399"/>
      <c r="W33" s="399"/>
      <c r="X33" s="399"/>
      <c r="Y33" s="399"/>
      <c r="Z33" s="399"/>
      <c r="AA33" s="400"/>
    </row>
    <row r="34" spans="1:27" ht="15.75" customHeight="1">
      <c r="A34" s="721"/>
      <c r="B34" s="723"/>
      <c r="C34" s="738"/>
      <c r="D34" s="730"/>
      <c r="E34" s="730"/>
      <c r="F34" s="730"/>
      <c r="G34" s="730"/>
      <c r="H34" s="731"/>
      <c r="I34" s="738"/>
      <c r="J34" s="730"/>
      <c r="K34" s="730"/>
      <c r="L34" s="730"/>
      <c r="M34" s="730"/>
      <c r="N34" s="730"/>
      <c r="O34" s="731"/>
      <c r="P34" s="401" t="s">
        <v>2826</v>
      </c>
      <c r="Q34" s="401"/>
      <c r="R34" s="401"/>
      <c r="S34" s="401"/>
      <c r="T34" s="401"/>
      <c r="U34" s="401"/>
      <c r="V34" s="401"/>
      <c r="W34" s="401"/>
      <c r="X34" s="401"/>
      <c r="Y34" s="401"/>
      <c r="Z34" s="401"/>
      <c r="AA34" s="402"/>
    </row>
    <row r="35" spans="1:27" ht="15.75" customHeight="1">
      <c r="A35" s="721"/>
      <c r="B35" s="723"/>
      <c r="C35" s="738"/>
      <c r="D35" s="730"/>
      <c r="E35" s="730"/>
      <c r="F35" s="730"/>
      <c r="G35" s="730"/>
      <c r="H35" s="731"/>
      <c r="I35" s="738"/>
      <c r="J35" s="730"/>
      <c r="K35" s="730"/>
      <c r="L35" s="730"/>
      <c r="M35" s="730"/>
      <c r="N35" s="730"/>
      <c r="O35" s="731"/>
      <c r="P35" s="401"/>
      <c r="Q35" s="401"/>
      <c r="R35" s="401"/>
      <c r="S35" s="401"/>
      <c r="T35" s="401" t="s">
        <v>14</v>
      </c>
      <c r="U35" s="401"/>
      <c r="V35" s="401"/>
      <c r="W35" s="401"/>
      <c r="X35" s="401"/>
      <c r="Y35" s="401"/>
      <c r="Z35" s="401"/>
      <c r="AA35" s="402"/>
    </row>
    <row r="36" spans="1:27" ht="12.75" customHeight="1">
      <c r="A36" s="721"/>
      <c r="B36" s="723"/>
      <c r="C36" s="769"/>
      <c r="D36" s="732"/>
      <c r="E36" s="732"/>
      <c r="F36" s="732"/>
      <c r="G36" s="732"/>
      <c r="H36" s="733"/>
      <c r="I36" s="769"/>
      <c r="J36" s="732"/>
      <c r="K36" s="732"/>
      <c r="L36" s="732"/>
      <c r="M36" s="732"/>
      <c r="N36" s="732"/>
      <c r="O36" s="733"/>
      <c r="P36" s="404"/>
      <c r="Q36" s="404"/>
      <c r="R36" s="404"/>
      <c r="S36" s="404"/>
      <c r="T36" s="404"/>
      <c r="U36" s="404"/>
      <c r="V36" s="404"/>
      <c r="W36" s="404"/>
      <c r="X36" s="404"/>
      <c r="Y36" s="404"/>
      <c r="Z36" s="404"/>
      <c r="AA36" s="403"/>
    </row>
    <row r="37" spans="1:27" ht="15.75" customHeight="1">
      <c r="A37" s="721"/>
      <c r="B37" s="723"/>
      <c r="C37" s="737" t="s">
        <v>2</v>
      </c>
      <c r="D37" s="728"/>
      <c r="E37" s="728"/>
      <c r="F37" s="728"/>
      <c r="G37" s="728"/>
      <c r="H37" s="729"/>
      <c r="I37" s="756"/>
      <c r="J37" s="757"/>
      <c r="K37" s="757"/>
      <c r="L37" s="757"/>
      <c r="M37" s="757"/>
      <c r="N37" s="757"/>
      <c r="O37" s="758"/>
      <c r="P37" s="756"/>
      <c r="Q37" s="757"/>
      <c r="R37" s="757"/>
      <c r="S37" s="757"/>
      <c r="T37" s="757"/>
      <c r="U37" s="757"/>
      <c r="V37" s="757"/>
      <c r="W37" s="757"/>
      <c r="X37" s="757"/>
      <c r="Y37" s="757"/>
      <c r="Z37" s="757"/>
      <c r="AA37" s="758"/>
    </row>
    <row r="38" spans="1:27" ht="18" customHeight="1">
      <c r="A38" s="721"/>
      <c r="B38" s="723"/>
      <c r="C38" s="738"/>
      <c r="D38" s="730"/>
      <c r="E38" s="730"/>
      <c r="F38" s="730"/>
      <c r="G38" s="730"/>
      <c r="H38" s="731"/>
      <c r="I38" s="759"/>
      <c r="J38" s="760"/>
      <c r="K38" s="760"/>
      <c r="L38" s="760"/>
      <c r="M38" s="760"/>
      <c r="N38" s="760"/>
      <c r="O38" s="761"/>
      <c r="P38" s="759"/>
      <c r="Q38" s="760"/>
      <c r="R38" s="760"/>
      <c r="S38" s="760"/>
      <c r="T38" s="760"/>
      <c r="U38" s="760"/>
      <c r="V38" s="760"/>
      <c r="W38" s="760"/>
      <c r="X38" s="760"/>
      <c r="Y38" s="760"/>
      <c r="Z38" s="760"/>
      <c r="AA38" s="761"/>
    </row>
    <row r="39" spans="1:27" ht="18" customHeight="1">
      <c r="A39" s="724"/>
      <c r="B39" s="726"/>
      <c r="C39" s="738"/>
      <c r="D39" s="730"/>
      <c r="E39" s="730"/>
      <c r="F39" s="730"/>
      <c r="G39" s="730"/>
      <c r="H39" s="731"/>
      <c r="I39" s="762"/>
      <c r="J39" s="763"/>
      <c r="K39" s="763"/>
      <c r="L39" s="763"/>
      <c r="M39" s="763"/>
      <c r="N39" s="763"/>
      <c r="O39" s="764"/>
      <c r="P39" s="762"/>
      <c r="Q39" s="763"/>
      <c r="R39" s="763"/>
      <c r="S39" s="763"/>
      <c r="T39" s="763"/>
      <c r="U39" s="763"/>
      <c r="V39" s="763"/>
      <c r="W39" s="763"/>
      <c r="X39" s="763"/>
      <c r="Y39" s="763"/>
      <c r="Z39" s="763"/>
      <c r="AA39" s="764"/>
    </row>
    <row r="40" spans="1:27" ht="18" customHeight="1">
      <c r="A40" s="739" t="s">
        <v>2827</v>
      </c>
      <c r="B40" s="740"/>
      <c r="C40" s="740"/>
      <c r="D40" s="740"/>
      <c r="E40" s="740"/>
      <c r="F40" s="740"/>
      <c r="G40" s="740"/>
      <c r="H40" s="740"/>
      <c r="I40" s="743"/>
      <c r="J40" s="744"/>
      <c r="K40" s="744"/>
      <c r="L40" s="744"/>
      <c r="M40" s="744"/>
      <c r="N40" s="744"/>
      <c r="O40" s="744"/>
      <c r="P40" s="744"/>
      <c r="Q40" s="744"/>
      <c r="R40" s="744"/>
      <c r="S40" s="744"/>
      <c r="T40" s="744"/>
      <c r="U40" s="744"/>
      <c r="V40" s="744"/>
      <c r="W40" s="744"/>
      <c r="X40" s="744"/>
      <c r="Y40" s="744"/>
      <c r="Z40" s="744"/>
      <c r="AA40" s="745"/>
    </row>
    <row r="41" spans="1:27" ht="18" customHeight="1">
      <c r="A41" s="741"/>
      <c r="B41" s="742"/>
      <c r="C41" s="742"/>
      <c r="D41" s="742"/>
      <c r="E41" s="742"/>
      <c r="F41" s="742"/>
      <c r="G41" s="742"/>
      <c r="H41" s="742"/>
      <c r="I41" s="746"/>
      <c r="J41" s="747"/>
      <c r="K41" s="747"/>
      <c r="L41" s="747"/>
      <c r="M41" s="747"/>
      <c r="N41" s="747"/>
      <c r="O41" s="747"/>
      <c r="P41" s="747"/>
      <c r="Q41" s="747"/>
      <c r="R41" s="747"/>
      <c r="S41" s="747"/>
      <c r="T41" s="747"/>
      <c r="U41" s="747"/>
      <c r="V41" s="747"/>
      <c r="W41" s="747"/>
      <c r="X41" s="747"/>
      <c r="Y41" s="747"/>
      <c r="Z41" s="747"/>
      <c r="AA41" s="748"/>
    </row>
    <row r="42" spans="1:27" ht="18" customHeight="1" thickBot="1">
      <c r="A42" s="741"/>
      <c r="B42" s="742"/>
      <c r="C42" s="742"/>
      <c r="D42" s="742"/>
      <c r="E42" s="742"/>
      <c r="F42" s="742"/>
      <c r="G42" s="742"/>
      <c r="H42" s="742"/>
      <c r="I42" s="749"/>
      <c r="J42" s="750"/>
      <c r="K42" s="750"/>
      <c r="L42" s="750"/>
      <c r="M42" s="750"/>
      <c r="N42" s="750"/>
      <c r="O42" s="750"/>
      <c r="P42" s="750"/>
      <c r="Q42" s="750"/>
      <c r="R42" s="750"/>
      <c r="S42" s="750"/>
      <c r="T42" s="750"/>
      <c r="U42" s="750"/>
      <c r="V42" s="750"/>
      <c r="W42" s="750"/>
      <c r="X42" s="750"/>
      <c r="Y42" s="750"/>
      <c r="Z42" s="750"/>
      <c r="AA42" s="751"/>
    </row>
    <row r="43" spans="1:27" ht="15.75" customHeight="1" thickTop="1">
      <c r="A43" s="765" t="s">
        <v>2828</v>
      </c>
      <c r="B43" s="720"/>
      <c r="C43" s="718"/>
      <c r="D43" s="719"/>
      <c r="E43" s="719"/>
      <c r="F43" s="719"/>
      <c r="G43" s="719"/>
      <c r="H43" s="719"/>
      <c r="I43" s="719"/>
      <c r="J43" s="719"/>
      <c r="K43" s="719"/>
      <c r="L43" s="719"/>
      <c r="M43" s="719"/>
      <c r="N43" s="720"/>
      <c r="O43" s="734" t="s">
        <v>2829</v>
      </c>
      <c r="P43" s="718"/>
      <c r="Q43" s="719"/>
      <c r="R43" s="719"/>
      <c r="S43" s="719"/>
      <c r="T43" s="720"/>
      <c r="U43" s="734" t="s">
        <v>2830</v>
      </c>
      <c r="V43" s="718"/>
      <c r="W43" s="719"/>
      <c r="X43" s="719"/>
      <c r="Y43" s="719"/>
      <c r="Z43" s="719"/>
      <c r="AA43" s="720"/>
    </row>
    <row r="44" spans="1:27" ht="15.75" customHeight="1">
      <c r="A44" s="766"/>
      <c r="B44" s="723"/>
      <c r="C44" s="721"/>
      <c r="D44" s="722"/>
      <c r="E44" s="722"/>
      <c r="F44" s="722"/>
      <c r="G44" s="722"/>
      <c r="H44" s="722"/>
      <c r="I44" s="722"/>
      <c r="J44" s="722"/>
      <c r="K44" s="722"/>
      <c r="L44" s="722"/>
      <c r="M44" s="722"/>
      <c r="N44" s="723"/>
      <c r="O44" s="735"/>
      <c r="P44" s="721"/>
      <c r="Q44" s="722"/>
      <c r="R44" s="722"/>
      <c r="S44" s="722"/>
      <c r="T44" s="723"/>
      <c r="U44" s="735"/>
      <c r="V44" s="721"/>
      <c r="W44" s="722"/>
      <c r="X44" s="722"/>
      <c r="Y44" s="722"/>
      <c r="Z44" s="722"/>
      <c r="AA44" s="723"/>
    </row>
    <row r="45" spans="1:27" ht="15.75" customHeight="1">
      <c r="A45" s="721"/>
      <c r="B45" s="723"/>
      <c r="C45" s="721"/>
      <c r="D45" s="722"/>
      <c r="E45" s="722"/>
      <c r="F45" s="722"/>
      <c r="G45" s="722"/>
      <c r="H45" s="722"/>
      <c r="I45" s="722"/>
      <c r="J45" s="722"/>
      <c r="K45" s="722"/>
      <c r="L45" s="722"/>
      <c r="M45" s="722"/>
      <c r="N45" s="723"/>
      <c r="O45" s="735"/>
      <c r="P45" s="721"/>
      <c r="Q45" s="722"/>
      <c r="R45" s="722"/>
      <c r="S45" s="722"/>
      <c r="T45" s="723"/>
      <c r="U45" s="735"/>
      <c r="V45" s="721"/>
      <c r="W45" s="722"/>
      <c r="X45" s="722"/>
      <c r="Y45" s="722"/>
      <c r="Z45" s="722"/>
      <c r="AA45" s="723"/>
    </row>
    <row r="46" spans="1:27" ht="15.75" customHeight="1">
      <c r="A46" s="721"/>
      <c r="B46" s="723"/>
      <c r="C46" s="721"/>
      <c r="D46" s="722"/>
      <c r="E46" s="722"/>
      <c r="F46" s="722"/>
      <c r="G46" s="722"/>
      <c r="H46" s="722"/>
      <c r="I46" s="722"/>
      <c r="J46" s="722"/>
      <c r="K46" s="722"/>
      <c r="L46" s="722"/>
      <c r="M46" s="722"/>
      <c r="N46" s="723"/>
      <c r="O46" s="735"/>
      <c r="P46" s="721"/>
      <c r="Q46" s="722"/>
      <c r="R46" s="722"/>
      <c r="S46" s="722"/>
      <c r="T46" s="723"/>
      <c r="U46" s="735"/>
      <c r="V46" s="721"/>
      <c r="W46" s="722"/>
      <c r="X46" s="722"/>
      <c r="Y46" s="722"/>
      <c r="Z46" s="722"/>
      <c r="AA46" s="723"/>
    </row>
    <row r="47" spans="1:27" ht="15.75" customHeight="1">
      <c r="A47" s="724"/>
      <c r="B47" s="726"/>
      <c r="C47" s="724"/>
      <c r="D47" s="725"/>
      <c r="E47" s="725"/>
      <c r="F47" s="725"/>
      <c r="G47" s="725"/>
      <c r="H47" s="725"/>
      <c r="I47" s="725"/>
      <c r="J47" s="725"/>
      <c r="K47" s="725"/>
      <c r="L47" s="725"/>
      <c r="M47" s="725"/>
      <c r="N47" s="726"/>
      <c r="O47" s="736"/>
      <c r="P47" s="724"/>
      <c r="Q47" s="725"/>
      <c r="R47" s="725"/>
      <c r="S47" s="725"/>
      <c r="T47" s="726"/>
      <c r="U47" s="736"/>
      <c r="V47" s="724"/>
      <c r="W47" s="725"/>
      <c r="X47" s="725"/>
      <c r="Y47" s="725"/>
      <c r="Z47" s="725"/>
      <c r="AA47" s="726"/>
    </row>
    <row r="48" spans="1:27" ht="15.75" customHeight="1">
      <c r="B48" s="290" t="s">
        <v>484</v>
      </c>
      <c r="D48" s="708" t="s">
        <v>3215</v>
      </c>
      <c r="E48" s="708"/>
      <c r="F48" s="708"/>
      <c r="G48" s="708"/>
      <c r="H48" s="708"/>
      <c r="I48" s="708"/>
      <c r="J48" s="708"/>
      <c r="K48" s="708"/>
      <c r="L48" s="708"/>
      <c r="M48" s="708"/>
      <c r="N48" s="708"/>
      <c r="O48" s="708"/>
      <c r="P48" s="708"/>
      <c r="Q48" s="708"/>
      <c r="R48" s="708"/>
      <c r="S48" s="708"/>
      <c r="T48" s="708"/>
      <c r="U48" s="708"/>
      <c r="V48" s="708"/>
      <c r="W48" s="708"/>
      <c r="X48" s="708"/>
      <c r="Y48" s="708"/>
      <c r="Z48" s="708"/>
      <c r="AA48" s="708"/>
    </row>
    <row r="49" spans="4:27" ht="15.75" customHeight="1">
      <c r="D49" s="709" t="s">
        <v>3214</v>
      </c>
      <c r="E49" s="709"/>
      <c r="F49" s="709"/>
      <c r="G49" s="709"/>
      <c r="H49" s="709"/>
      <c r="I49" s="709"/>
      <c r="J49" s="709"/>
      <c r="K49" s="709"/>
      <c r="L49" s="709"/>
      <c r="M49" s="709"/>
      <c r="N49" s="709"/>
      <c r="O49" s="709"/>
      <c r="P49" s="709"/>
      <c r="Q49" s="709"/>
      <c r="R49" s="709"/>
      <c r="S49" s="709"/>
      <c r="T49" s="709"/>
      <c r="U49" s="709"/>
      <c r="V49" s="709"/>
      <c r="W49" s="709"/>
      <c r="X49" s="709"/>
      <c r="Y49" s="709"/>
      <c r="Z49" s="709"/>
      <c r="AA49" s="709"/>
    </row>
    <row r="50" spans="4:27" ht="15.75" customHeight="1">
      <c r="D50" s="290" t="s">
        <v>3216</v>
      </c>
    </row>
    <row r="51" spans="4:27" ht="15.75" customHeight="1"/>
  </sheetData>
  <mergeCells count="53">
    <mergeCell ref="I19:I20"/>
    <mergeCell ref="J19:O20"/>
    <mergeCell ref="C17:H20"/>
    <mergeCell ref="B2:AA2"/>
    <mergeCell ref="A13:H13"/>
    <mergeCell ref="R13:AA13"/>
    <mergeCell ref="O7:P7"/>
    <mergeCell ref="O9:P9"/>
    <mergeCell ref="J13:K13"/>
    <mergeCell ref="Z3:Z4"/>
    <mergeCell ref="V3:V4"/>
    <mergeCell ref="W3:W4"/>
    <mergeCell ref="Y3:Y4"/>
    <mergeCell ref="X3:X4"/>
    <mergeCell ref="T3:U4"/>
    <mergeCell ref="Q7:Z8"/>
    <mergeCell ref="I37:O39"/>
    <mergeCell ref="P37:AA39"/>
    <mergeCell ref="V43:AA47"/>
    <mergeCell ref="I25:I28"/>
    <mergeCell ref="A43:B47"/>
    <mergeCell ref="U43:U47"/>
    <mergeCell ref="A17:B39"/>
    <mergeCell ref="P17:AA18"/>
    <mergeCell ref="P19:AA20"/>
    <mergeCell ref="I29:O32"/>
    <mergeCell ref="C29:H32"/>
    <mergeCell ref="C33:H36"/>
    <mergeCell ref="I33:O36"/>
    <mergeCell ref="C21:H28"/>
    <mergeCell ref="I17:I18"/>
    <mergeCell ref="J17:O18"/>
    <mergeCell ref="Q9:Z10"/>
    <mergeCell ref="B11:Z11"/>
    <mergeCell ref="B12:Z12"/>
    <mergeCell ref="A14:H14"/>
    <mergeCell ref="I14:AA14"/>
    <mergeCell ref="D48:AA48"/>
    <mergeCell ref="D49:AA49"/>
    <mergeCell ref="A15:H15"/>
    <mergeCell ref="I15:AA15"/>
    <mergeCell ref="A16:H16"/>
    <mergeCell ref="I16:Q16"/>
    <mergeCell ref="R16:AA16"/>
    <mergeCell ref="P43:T47"/>
    <mergeCell ref="I21:I24"/>
    <mergeCell ref="J21:O24"/>
    <mergeCell ref="J25:O28"/>
    <mergeCell ref="C43:N47"/>
    <mergeCell ref="O43:O47"/>
    <mergeCell ref="C37:H39"/>
    <mergeCell ref="A40:H42"/>
    <mergeCell ref="I40:AA42"/>
  </mergeCells>
  <phoneticPr fontId="57"/>
  <printOptions horizontalCentered="1"/>
  <pageMargins left="0.39370078740157483" right="0.39370078740157483" top="0.62992125984251968" bottom="0.55118110236220474"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zoomScale="75" zoomScaleNormal="75" workbookViewId="0"/>
  </sheetViews>
  <sheetFormatPr defaultColWidth="4.375" defaultRowHeight="11.25"/>
  <cols>
    <col min="1" max="1" width="4.375" style="293" customWidth="1"/>
    <col min="2" max="16384" width="4.375" style="293"/>
  </cols>
  <sheetData>
    <row r="1" spans="1:34">
      <c r="A1" s="795" t="s">
        <v>3031</v>
      </c>
      <c r="B1" s="795"/>
      <c r="C1" s="795"/>
      <c r="D1" s="795"/>
    </row>
    <row r="2" spans="1:34" ht="8.25" customHeight="1">
      <c r="A2" s="331"/>
      <c r="B2" s="331"/>
      <c r="C2" s="331"/>
      <c r="D2" s="331"/>
    </row>
    <row r="3" spans="1:34" ht="11.25" customHeight="1">
      <c r="A3" s="796" t="s">
        <v>3030</v>
      </c>
      <c r="B3" s="796"/>
      <c r="C3" s="796"/>
      <c r="D3" s="796"/>
      <c r="E3" s="796"/>
      <c r="F3" s="796"/>
      <c r="G3" s="796"/>
      <c r="H3" s="796"/>
      <c r="I3" s="796"/>
      <c r="J3" s="796"/>
      <c r="K3" s="796"/>
      <c r="L3" s="796"/>
      <c r="M3" s="796"/>
      <c r="N3" s="796"/>
      <c r="O3" s="796"/>
      <c r="P3" s="796"/>
      <c r="Q3" s="796"/>
      <c r="R3" s="796"/>
      <c r="S3" s="796"/>
      <c r="T3" s="796"/>
      <c r="U3" s="796"/>
      <c r="V3" s="796"/>
    </row>
    <row r="4" spans="1:34" ht="11.25" customHeight="1">
      <c r="A4" s="796"/>
      <c r="B4" s="796"/>
      <c r="C4" s="796"/>
      <c r="D4" s="796"/>
      <c r="E4" s="796"/>
      <c r="F4" s="796"/>
      <c r="G4" s="796"/>
      <c r="H4" s="796"/>
      <c r="I4" s="796"/>
      <c r="J4" s="796"/>
      <c r="K4" s="796"/>
      <c r="L4" s="796"/>
      <c r="M4" s="796"/>
      <c r="N4" s="796"/>
      <c r="O4" s="796"/>
      <c r="P4" s="796"/>
      <c r="Q4" s="796"/>
      <c r="R4" s="796"/>
      <c r="S4" s="796"/>
      <c r="T4" s="796"/>
      <c r="U4" s="796"/>
      <c r="V4" s="796"/>
      <c r="AH4" s="485"/>
    </row>
    <row r="5" spans="1:34" ht="11.25" customHeight="1">
      <c r="A5" s="796"/>
      <c r="B5" s="796"/>
      <c r="C5" s="796"/>
      <c r="D5" s="796"/>
      <c r="E5" s="796"/>
      <c r="F5" s="796"/>
      <c r="G5" s="796"/>
      <c r="H5" s="796"/>
      <c r="I5" s="796"/>
      <c r="J5" s="796"/>
      <c r="K5" s="796"/>
      <c r="L5" s="796"/>
      <c r="M5" s="796"/>
      <c r="N5" s="796"/>
      <c r="O5" s="796"/>
      <c r="P5" s="796"/>
      <c r="Q5" s="796"/>
      <c r="R5" s="796"/>
      <c r="S5" s="796"/>
      <c r="T5" s="796"/>
      <c r="U5" s="796"/>
      <c r="V5" s="796"/>
      <c r="AH5" s="485"/>
    </row>
    <row r="6" spans="1:34" ht="11.25" customHeight="1">
      <c r="A6" s="332"/>
      <c r="B6" s="332"/>
      <c r="C6" s="332"/>
      <c r="D6" s="332"/>
      <c r="E6" s="332"/>
      <c r="F6" s="332"/>
      <c r="G6" s="332"/>
      <c r="H6" s="332"/>
      <c r="I6" s="332"/>
      <c r="J6" s="332"/>
      <c r="K6" s="332"/>
      <c r="L6" s="332"/>
      <c r="AH6" s="485"/>
    </row>
    <row r="7" spans="1:34" ht="12.75" customHeight="1">
      <c r="P7" s="448"/>
      <c r="Q7" s="448"/>
      <c r="R7" s="448"/>
      <c r="S7" s="448"/>
      <c r="T7" s="448"/>
      <c r="U7" s="448"/>
      <c r="AH7" s="485"/>
    </row>
    <row r="8" spans="1:34" ht="11.25" customHeight="1">
      <c r="P8" s="798"/>
      <c r="Q8" s="798"/>
      <c r="R8" s="448" t="s">
        <v>464</v>
      </c>
      <c r="S8" s="449"/>
      <c r="T8" s="448" t="s">
        <v>1</v>
      </c>
      <c r="U8" s="449"/>
      <c r="V8" s="448" t="s">
        <v>465</v>
      </c>
      <c r="AH8" s="485"/>
    </row>
    <row r="9" spans="1:34" ht="9" customHeight="1">
      <c r="K9" s="294"/>
      <c r="L9" s="294"/>
      <c r="AH9" s="485"/>
    </row>
    <row r="10" spans="1:34" ht="12.75" customHeight="1">
      <c r="A10" s="797" t="str">
        <f ca="1">cst_Pre_Corp__SHINSEI</f>
        <v>一般財団法人静岡県建築住宅まちづくりセンター</v>
      </c>
      <c r="B10" s="797"/>
      <c r="C10" s="797"/>
      <c r="D10" s="797"/>
      <c r="E10" s="797"/>
      <c r="F10" s="797"/>
      <c r="G10" s="797"/>
      <c r="H10" s="797"/>
      <c r="I10" s="797"/>
      <c r="J10" s="797"/>
      <c r="AH10" s="485"/>
    </row>
    <row r="11" spans="1:34" ht="7.5" customHeight="1">
      <c r="A11" s="333"/>
      <c r="B11" s="333"/>
      <c r="C11" s="333"/>
      <c r="D11" s="333"/>
      <c r="E11" s="333"/>
      <c r="F11" s="333"/>
      <c r="AH11" s="485"/>
    </row>
    <row r="12" spans="1:34" ht="12.75" customHeight="1">
      <c r="A12" s="295"/>
      <c r="B12" s="385" t="str">
        <f ca="1">cst_Pre_Daihyou__SHINSEI</f>
        <v>理事長 　柳　敏幸</v>
      </c>
      <c r="C12" s="296"/>
      <c r="D12" s="296"/>
      <c r="E12" s="296"/>
      <c r="G12" s="296" t="s">
        <v>2796</v>
      </c>
      <c r="Y12" s="485"/>
      <c r="Z12" s="485"/>
      <c r="AA12" s="485"/>
      <c r="AB12" s="485"/>
      <c r="AC12" s="485"/>
      <c r="AD12" s="485"/>
      <c r="AE12" s="485"/>
      <c r="AF12" s="485"/>
      <c r="AG12" s="485"/>
      <c r="AH12" s="485"/>
    </row>
    <row r="15" spans="1:34" ht="22.5" customHeight="1">
      <c r="F15" s="295"/>
      <c r="K15" s="297" t="s">
        <v>2831</v>
      </c>
      <c r="M15" s="785" t="str">
        <f>cst_wskakunin_owner1__address</f>
        <v>静岡県静岡市葵区新伝馬二丁目8-41-101</v>
      </c>
      <c r="N15" s="785"/>
      <c r="O15" s="785"/>
      <c r="P15" s="785"/>
      <c r="Q15" s="785"/>
      <c r="R15" s="785"/>
      <c r="S15" s="785"/>
      <c r="T15" s="785"/>
      <c r="U15" s="785"/>
      <c r="V15" s="785"/>
    </row>
    <row r="16" spans="1:34" ht="22.5" customHeight="1">
      <c r="J16" s="443" t="s">
        <v>2832</v>
      </c>
      <c r="K16" s="297"/>
      <c r="M16" s="785"/>
      <c r="N16" s="785"/>
      <c r="O16" s="785"/>
      <c r="P16" s="785"/>
      <c r="Q16" s="785"/>
      <c r="R16" s="785"/>
      <c r="S16" s="785"/>
      <c r="T16" s="785"/>
      <c r="U16" s="785"/>
      <c r="V16" s="785"/>
      <c r="AA16" s="406"/>
    </row>
    <row r="17" spans="1:32" ht="22.5" customHeight="1">
      <c r="F17" s="295"/>
      <c r="K17" s="297" t="s">
        <v>3040</v>
      </c>
      <c r="M17" s="785" t="str">
        <f>cst_wskakunin_owner1__space3</f>
        <v>菅野　幸子</v>
      </c>
      <c r="N17" s="785"/>
      <c r="O17" s="785"/>
      <c r="P17" s="785"/>
      <c r="Q17" s="785"/>
      <c r="R17" s="785"/>
      <c r="S17" s="785"/>
      <c r="T17" s="785"/>
      <c r="U17" s="785"/>
      <c r="V17" s="785"/>
    </row>
    <row r="18" spans="1:32" ht="24" customHeight="1">
      <c r="G18" s="295"/>
      <c r="M18" s="785"/>
      <c r="N18" s="785"/>
      <c r="O18" s="785"/>
      <c r="P18" s="785"/>
      <c r="Q18" s="785"/>
      <c r="R18" s="785"/>
      <c r="S18" s="785"/>
      <c r="T18" s="785"/>
      <c r="U18" s="785"/>
      <c r="V18" s="785"/>
      <c r="AB18" s="447"/>
      <c r="AE18" s="778"/>
      <c r="AF18" s="778"/>
    </row>
    <row r="19" spans="1:32" ht="8.25" customHeight="1"/>
    <row r="20" spans="1:32" ht="20.25" customHeight="1">
      <c r="A20" s="794" t="str">
        <f ca="1">"下記について直前の（ "&amp;IF(cst_wsjob_JOB_KIND="中間検査",IF(cst_wskakunin_koutei_izen01_umu="有","中間検査","確認"),IF(cst_wsjob_JOB_KIND="完了検査",IF(cst_wskakunin_koutei01_umu="有","中間検査","確認"),""))&amp;" ）を受けた日以降に建築基準法施行規則第３条の２に該当する軽微な変更がありましたので説明書を提出します。"</f>
        <v>下記について直前の（ 確認 ）を受けた日以降に建築基準法施行規則第３条の２に該当する軽微な変更がありましたので説明書を提出します。</v>
      </c>
      <c r="B20" s="794"/>
      <c r="C20" s="794"/>
      <c r="D20" s="794"/>
      <c r="E20" s="794"/>
      <c r="F20" s="794"/>
      <c r="G20" s="794"/>
      <c r="H20" s="794"/>
      <c r="I20" s="794"/>
      <c r="J20" s="794"/>
      <c r="K20" s="794"/>
      <c r="L20" s="794"/>
      <c r="M20" s="794"/>
      <c r="N20" s="794"/>
      <c r="O20" s="794"/>
      <c r="P20" s="794"/>
      <c r="Q20" s="794"/>
      <c r="R20" s="794"/>
      <c r="S20" s="794"/>
      <c r="T20" s="794"/>
      <c r="U20" s="794"/>
      <c r="V20" s="794"/>
    </row>
    <row r="21" spans="1:32" ht="12.75" customHeight="1">
      <c r="A21" s="794"/>
      <c r="B21" s="794"/>
      <c r="C21" s="794"/>
      <c r="D21" s="794"/>
      <c r="E21" s="794"/>
      <c r="F21" s="794"/>
      <c r="G21" s="794"/>
      <c r="H21" s="794"/>
      <c r="I21" s="794"/>
      <c r="J21" s="794"/>
      <c r="K21" s="794"/>
      <c r="L21" s="794"/>
      <c r="M21" s="794"/>
      <c r="N21" s="794"/>
      <c r="O21" s="794"/>
      <c r="P21" s="794"/>
      <c r="Q21" s="794"/>
      <c r="R21" s="794"/>
      <c r="S21" s="794"/>
      <c r="T21" s="794"/>
      <c r="U21" s="794"/>
      <c r="V21" s="794"/>
    </row>
    <row r="22" spans="1:32" ht="4.5" customHeight="1"/>
    <row r="23" spans="1:32" ht="11.25" customHeight="1">
      <c r="A23" s="393" t="s">
        <v>3029</v>
      </c>
      <c r="B23" s="394"/>
      <c r="C23" s="445"/>
      <c r="D23" s="445"/>
      <c r="E23" s="395"/>
      <c r="F23" s="786" t="str">
        <f>cst_wskakunin_owner1__space</f>
        <v>菅野　幸子</v>
      </c>
      <c r="G23" s="787"/>
      <c r="H23" s="787"/>
      <c r="I23" s="787"/>
      <c r="J23" s="787"/>
      <c r="K23" s="787"/>
      <c r="L23" s="787"/>
      <c r="M23" s="787"/>
      <c r="N23" s="787"/>
      <c r="O23" s="787"/>
      <c r="P23" s="787"/>
      <c r="Q23" s="787"/>
      <c r="R23" s="787"/>
      <c r="S23" s="787"/>
      <c r="T23" s="787"/>
      <c r="U23" s="787"/>
      <c r="V23" s="788"/>
    </row>
    <row r="24" spans="1:32" ht="11.25" customHeight="1">
      <c r="A24" s="398"/>
      <c r="B24" s="444"/>
      <c r="E24" s="397"/>
      <c r="F24" s="789"/>
      <c r="G24" s="785"/>
      <c r="H24" s="785"/>
      <c r="I24" s="785"/>
      <c r="J24" s="785"/>
      <c r="K24" s="785"/>
      <c r="L24" s="785"/>
      <c r="M24" s="785"/>
      <c r="N24" s="785"/>
      <c r="O24" s="785"/>
      <c r="P24" s="785"/>
      <c r="Q24" s="785"/>
      <c r="R24" s="785"/>
      <c r="S24" s="785"/>
      <c r="T24" s="785"/>
      <c r="U24" s="785"/>
      <c r="V24" s="790"/>
    </row>
    <row r="25" spans="1:32" ht="13.5" customHeight="1">
      <c r="A25" s="396" t="s">
        <v>3028</v>
      </c>
      <c r="B25" s="297"/>
      <c r="E25" s="389"/>
      <c r="F25" s="789" t="str">
        <f>cst_wskakunin_BUILD__address</f>
        <v>静岡県静岡市葵区平和二丁目215-8</v>
      </c>
      <c r="G25" s="785"/>
      <c r="H25" s="785"/>
      <c r="I25" s="785"/>
      <c r="J25" s="785"/>
      <c r="K25" s="785"/>
      <c r="L25" s="785"/>
      <c r="M25" s="785"/>
      <c r="N25" s="785"/>
      <c r="O25" s="785"/>
      <c r="P25" s="785"/>
      <c r="Q25" s="785"/>
      <c r="R25" s="785"/>
      <c r="S25" s="785"/>
      <c r="T25" s="785"/>
      <c r="U25" s="785"/>
      <c r="V25" s="790"/>
    </row>
    <row r="26" spans="1:32" ht="12.75">
      <c r="A26" s="388"/>
      <c r="B26" s="387"/>
      <c r="C26" s="446"/>
      <c r="D26" s="446"/>
      <c r="E26" s="386"/>
      <c r="F26" s="791"/>
      <c r="G26" s="792"/>
      <c r="H26" s="792"/>
      <c r="I26" s="792"/>
      <c r="J26" s="792"/>
      <c r="K26" s="792"/>
      <c r="L26" s="792"/>
      <c r="M26" s="792"/>
      <c r="N26" s="792"/>
      <c r="O26" s="792"/>
      <c r="P26" s="792"/>
      <c r="Q26" s="792"/>
      <c r="R26" s="792"/>
      <c r="S26" s="792"/>
      <c r="T26" s="792"/>
      <c r="U26" s="792"/>
      <c r="V26" s="793"/>
    </row>
    <row r="27" spans="1:32" ht="11.25" customHeight="1">
      <c r="A27" s="393" t="s">
        <v>3027</v>
      </c>
      <c r="B27" s="394"/>
      <c r="C27" s="445"/>
      <c r="D27" s="445"/>
      <c r="E27" s="395"/>
      <c r="F27" s="452"/>
      <c r="G27" s="453"/>
      <c r="H27" s="453"/>
      <c r="I27" s="453"/>
      <c r="J27" s="806">
        <f ca="1">cst_ISSUE_DATE_select</f>
        <v>44958</v>
      </c>
      <c r="K27" s="806"/>
      <c r="L27" s="779" t="s">
        <v>464</v>
      </c>
      <c r="M27" s="783">
        <f ca="1">cst_ISSUE_DATE_select</f>
        <v>44958</v>
      </c>
      <c r="N27" s="779" t="s">
        <v>1</v>
      </c>
      <c r="O27" s="781">
        <f ca="1">cst_ISSUE_DATE_select</f>
        <v>44958</v>
      </c>
      <c r="P27" s="779" t="s">
        <v>465</v>
      </c>
      <c r="Q27" s="453"/>
      <c r="R27" s="453"/>
      <c r="S27" s="453"/>
      <c r="T27" s="453"/>
      <c r="U27" s="453"/>
      <c r="V27" s="454"/>
    </row>
    <row r="28" spans="1:32" ht="12.75">
      <c r="A28" s="388"/>
      <c r="B28" s="387"/>
      <c r="C28" s="446"/>
      <c r="D28" s="446"/>
      <c r="E28" s="386"/>
      <c r="F28" s="455"/>
      <c r="G28" s="456"/>
      <c r="H28" s="456"/>
      <c r="I28" s="456"/>
      <c r="J28" s="807"/>
      <c r="K28" s="807"/>
      <c r="L28" s="780"/>
      <c r="M28" s="784"/>
      <c r="N28" s="780"/>
      <c r="O28" s="782"/>
      <c r="P28" s="780"/>
      <c r="Q28" s="456"/>
      <c r="R28" s="456"/>
      <c r="S28" s="456"/>
      <c r="T28" s="456"/>
      <c r="U28" s="456"/>
      <c r="V28" s="457"/>
    </row>
    <row r="29" spans="1:32" ht="11.25" customHeight="1">
      <c r="A29" s="393" t="s">
        <v>3026</v>
      </c>
      <c r="B29" s="394"/>
      <c r="C29" s="445"/>
      <c r="D29" s="445"/>
      <c r="E29" s="395"/>
      <c r="F29" s="800" t="str">
        <f ca="1">cst_wsjob_TARGET_KIND</f>
        <v>建築物</v>
      </c>
      <c r="G29" s="801"/>
      <c r="H29" s="801"/>
      <c r="I29" s="801"/>
      <c r="J29" s="801"/>
      <c r="K29" s="801"/>
      <c r="L29" s="801"/>
      <c r="M29" s="802"/>
      <c r="N29" s="800" t="str">
        <f ca="1">IF(cst_ISSUE_NO_select="","第　　　　　　　号",IF(COUNTIF(cst_ISSUE_NO_select,"*第*")&gt;0,"","第")&amp;cst_ISSUE_NO_select&amp;IF(COUNTIF(cst_ISSUE_NO_select,"*号*")&gt;0,"","号"))</f>
        <v>第 2022確認建築静建住ま10505 号</v>
      </c>
      <c r="O29" s="801"/>
      <c r="P29" s="801"/>
      <c r="Q29" s="801"/>
      <c r="R29" s="801"/>
      <c r="S29" s="801"/>
      <c r="T29" s="801"/>
      <c r="U29" s="801"/>
      <c r="V29" s="802"/>
    </row>
    <row r="30" spans="1:32" ht="12.75">
      <c r="A30" s="388"/>
      <c r="B30" s="387"/>
      <c r="C30" s="446"/>
      <c r="D30" s="446"/>
      <c r="E30" s="386"/>
      <c r="F30" s="803"/>
      <c r="G30" s="804"/>
      <c r="H30" s="804"/>
      <c r="I30" s="804"/>
      <c r="J30" s="804"/>
      <c r="K30" s="804"/>
      <c r="L30" s="804"/>
      <c r="M30" s="805"/>
      <c r="N30" s="803"/>
      <c r="O30" s="804"/>
      <c r="P30" s="804"/>
      <c r="Q30" s="804"/>
      <c r="R30" s="804"/>
      <c r="S30" s="804"/>
      <c r="T30" s="804"/>
      <c r="U30" s="804"/>
      <c r="V30" s="805"/>
    </row>
    <row r="31" spans="1:32" ht="12.75">
      <c r="A31" s="393" t="s">
        <v>3025</v>
      </c>
      <c r="B31" s="392"/>
      <c r="C31" s="445"/>
      <c r="D31" s="445"/>
      <c r="E31" s="391"/>
      <c r="F31" s="799"/>
      <c r="G31" s="799"/>
      <c r="H31" s="799"/>
      <c r="I31" s="799"/>
      <c r="J31" s="799"/>
      <c r="K31" s="799"/>
      <c r="L31" s="799"/>
      <c r="M31" s="799"/>
      <c r="N31" s="799"/>
      <c r="O31" s="799"/>
      <c r="P31" s="799"/>
      <c r="Q31" s="799"/>
      <c r="R31" s="799"/>
      <c r="S31" s="799"/>
      <c r="T31" s="799"/>
      <c r="U31" s="799"/>
      <c r="V31" s="799"/>
    </row>
    <row r="32" spans="1:32" ht="12.75">
      <c r="A32" s="390"/>
      <c r="B32" s="297"/>
      <c r="E32" s="389"/>
      <c r="F32" s="799"/>
      <c r="G32" s="799"/>
      <c r="H32" s="799"/>
      <c r="I32" s="799"/>
      <c r="J32" s="799"/>
      <c r="K32" s="799"/>
      <c r="L32" s="799"/>
      <c r="M32" s="799"/>
      <c r="N32" s="799"/>
      <c r="O32" s="799"/>
      <c r="P32" s="799"/>
      <c r="Q32" s="799"/>
      <c r="R32" s="799"/>
      <c r="S32" s="799"/>
      <c r="T32" s="799"/>
      <c r="U32" s="799"/>
      <c r="V32" s="799"/>
    </row>
    <row r="33" spans="1:22" ht="12.75">
      <c r="A33" s="390"/>
      <c r="B33" s="297"/>
      <c r="E33" s="389"/>
      <c r="F33" s="799"/>
      <c r="G33" s="799"/>
      <c r="H33" s="799"/>
      <c r="I33" s="799"/>
      <c r="J33" s="799"/>
      <c r="K33" s="799"/>
      <c r="L33" s="799"/>
      <c r="M33" s="799"/>
      <c r="N33" s="799"/>
      <c r="O33" s="799"/>
      <c r="P33" s="799"/>
      <c r="Q33" s="799"/>
      <c r="R33" s="799"/>
      <c r="S33" s="799"/>
      <c r="T33" s="799"/>
      <c r="U33" s="799"/>
      <c r="V33" s="799"/>
    </row>
    <row r="34" spans="1:22" ht="12.75">
      <c r="A34" s="390"/>
      <c r="B34" s="297"/>
      <c r="E34" s="389"/>
      <c r="F34" s="799"/>
      <c r="G34" s="799"/>
      <c r="H34" s="799"/>
      <c r="I34" s="799"/>
      <c r="J34" s="799"/>
      <c r="K34" s="799"/>
      <c r="L34" s="799"/>
      <c r="M34" s="799"/>
      <c r="N34" s="799"/>
      <c r="O34" s="799"/>
      <c r="P34" s="799"/>
      <c r="Q34" s="799"/>
      <c r="R34" s="799"/>
      <c r="S34" s="799"/>
      <c r="T34" s="799"/>
      <c r="U34" s="799"/>
      <c r="V34" s="799"/>
    </row>
    <row r="35" spans="1:22" ht="12.75">
      <c r="A35" s="390"/>
      <c r="B35" s="297"/>
      <c r="E35" s="389"/>
      <c r="F35" s="799"/>
      <c r="G35" s="799"/>
      <c r="H35" s="799"/>
      <c r="I35" s="799"/>
      <c r="J35" s="799"/>
      <c r="K35" s="799"/>
      <c r="L35" s="799"/>
      <c r="M35" s="799"/>
      <c r="N35" s="799"/>
      <c r="O35" s="799"/>
      <c r="P35" s="799"/>
      <c r="Q35" s="799"/>
      <c r="R35" s="799"/>
      <c r="S35" s="799"/>
      <c r="T35" s="799"/>
      <c r="U35" s="799"/>
      <c r="V35" s="799"/>
    </row>
    <row r="36" spans="1:22" ht="12.75">
      <c r="A36" s="390"/>
      <c r="B36" s="297"/>
      <c r="E36" s="389"/>
      <c r="F36" s="799"/>
      <c r="G36" s="799"/>
      <c r="H36" s="799"/>
      <c r="I36" s="799"/>
      <c r="J36" s="799"/>
      <c r="K36" s="799"/>
      <c r="L36" s="799"/>
      <c r="M36" s="799"/>
      <c r="N36" s="799"/>
      <c r="O36" s="799"/>
      <c r="P36" s="799"/>
      <c r="Q36" s="799"/>
      <c r="R36" s="799"/>
      <c r="S36" s="799"/>
      <c r="T36" s="799"/>
      <c r="U36" s="799"/>
      <c r="V36" s="799"/>
    </row>
    <row r="37" spans="1:22" ht="12.75">
      <c r="A37" s="390"/>
      <c r="B37" s="297"/>
      <c r="E37" s="389"/>
      <c r="F37" s="799"/>
      <c r="G37" s="799"/>
      <c r="H37" s="799"/>
      <c r="I37" s="799"/>
      <c r="J37" s="799"/>
      <c r="K37" s="799"/>
      <c r="L37" s="799"/>
      <c r="M37" s="799"/>
      <c r="N37" s="799"/>
      <c r="O37" s="799"/>
      <c r="P37" s="799"/>
      <c r="Q37" s="799"/>
      <c r="R37" s="799"/>
      <c r="S37" s="799"/>
      <c r="T37" s="799"/>
      <c r="U37" s="799"/>
      <c r="V37" s="799"/>
    </row>
    <row r="38" spans="1:22" ht="12.75">
      <c r="A38" s="390"/>
      <c r="B38" s="297"/>
      <c r="E38" s="389"/>
      <c r="F38" s="799"/>
      <c r="G38" s="799"/>
      <c r="H38" s="799"/>
      <c r="I38" s="799"/>
      <c r="J38" s="799"/>
      <c r="K38" s="799"/>
      <c r="L38" s="799"/>
      <c r="M38" s="799"/>
      <c r="N38" s="799"/>
      <c r="O38" s="799"/>
      <c r="P38" s="799"/>
      <c r="Q38" s="799"/>
      <c r="R38" s="799"/>
      <c r="S38" s="799"/>
      <c r="T38" s="799"/>
      <c r="U38" s="799"/>
      <c r="V38" s="799"/>
    </row>
    <row r="39" spans="1:22" ht="12.75">
      <c r="A39" s="390"/>
      <c r="B39" s="297"/>
      <c r="E39" s="389"/>
      <c r="F39" s="799"/>
      <c r="G39" s="799"/>
      <c r="H39" s="799"/>
      <c r="I39" s="799"/>
      <c r="J39" s="799"/>
      <c r="K39" s="799"/>
      <c r="L39" s="799"/>
      <c r="M39" s="799"/>
      <c r="N39" s="799"/>
      <c r="O39" s="799"/>
      <c r="P39" s="799"/>
      <c r="Q39" s="799"/>
      <c r="R39" s="799"/>
      <c r="S39" s="799"/>
      <c r="T39" s="799"/>
      <c r="U39" s="799"/>
      <c r="V39" s="799"/>
    </row>
    <row r="40" spans="1:22" ht="12.75">
      <c r="A40" s="390"/>
      <c r="B40" s="297"/>
      <c r="E40" s="389"/>
      <c r="F40" s="799"/>
      <c r="G40" s="799"/>
      <c r="H40" s="799"/>
      <c r="I40" s="799"/>
      <c r="J40" s="799"/>
      <c r="K40" s="799"/>
      <c r="L40" s="799"/>
      <c r="M40" s="799"/>
      <c r="N40" s="799"/>
      <c r="O40" s="799"/>
      <c r="P40" s="799"/>
      <c r="Q40" s="799"/>
      <c r="R40" s="799"/>
      <c r="S40" s="799"/>
      <c r="T40" s="799"/>
      <c r="U40" s="799"/>
      <c r="V40" s="799"/>
    </row>
    <row r="41" spans="1:22" ht="12.75">
      <c r="A41" s="390"/>
      <c r="B41" s="297"/>
      <c r="E41" s="389"/>
      <c r="F41" s="799"/>
      <c r="G41" s="799"/>
      <c r="H41" s="799"/>
      <c r="I41" s="799"/>
      <c r="J41" s="799"/>
      <c r="K41" s="799"/>
      <c r="L41" s="799"/>
      <c r="M41" s="799"/>
      <c r="N41" s="799"/>
      <c r="O41" s="799"/>
      <c r="P41" s="799"/>
      <c r="Q41" s="799"/>
      <c r="R41" s="799"/>
      <c r="S41" s="799"/>
      <c r="T41" s="799"/>
      <c r="U41" s="799"/>
      <c r="V41" s="799"/>
    </row>
    <row r="42" spans="1:22" ht="12.75">
      <c r="A42" s="390"/>
      <c r="B42" s="297"/>
      <c r="E42" s="389"/>
      <c r="F42" s="799"/>
      <c r="G42" s="799"/>
      <c r="H42" s="799"/>
      <c r="I42" s="799"/>
      <c r="J42" s="799"/>
      <c r="K42" s="799"/>
      <c r="L42" s="799"/>
      <c r="M42" s="799"/>
      <c r="N42" s="799"/>
      <c r="O42" s="799"/>
      <c r="P42" s="799"/>
      <c r="Q42" s="799"/>
      <c r="R42" s="799"/>
      <c r="S42" s="799"/>
      <c r="T42" s="799"/>
      <c r="U42" s="799"/>
      <c r="V42" s="799"/>
    </row>
    <row r="43" spans="1:22" ht="12.75">
      <c r="A43" s="390"/>
      <c r="B43" s="297"/>
      <c r="E43" s="389"/>
      <c r="F43" s="799"/>
      <c r="G43" s="799"/>
      <c r="H43" s="799"/>
      <c r="I43" s="799"/>
      <c r="J43" s="799"/>
      <c r="K43" s="799"/>
      <c r="L43" s="799"/>
      <c r="M43" s="799"/>
      <c r="N43" s="799"/>
      <c r="O43" s="799"/>
      <c r="P43" s="799"/>
      <c r="Q43" s="799"/>
      <c r="R43" s="799"/>
      <c r="S43" s="799"/>
      <c r="T43" s="799"/>
      <c r="U43" s="799"/>
      <c r="V43" s="799"/>
    </row>
    <row r="44" spans="1:22" ht="12.75">
      <c r="A44" s="390"/>
      <c r="B44" s="297"/>
      <c r="E44" s="389"/>
      <c r="F44" s="799"/>
      <c r="G44" s="799"/>
      <c r="H44" s="799"/>
      <c r="I44" s="799"/>
      <c r="J44" s="799"/>
      <c r="K44" s="799"/>
      <c r="L44" s="799"/>
      <c r="M44" s="799"/>
      <c r="N44" s="799"/>
      <c r="O44" s="799"/>
      <c r="P44" s="799"/>
      <c r="Q44" s="799"/>
      <c r="R44" s="799"/>
      <c r="S44" s="799"/>
      <c r="T44" s="799"/>
      <c r="U44" s="799"/>
      <c r="V44" s="799"/>
    </row>
    <row r="45" spans="1:22" ht="12.75">
      <c r="A45" s="390"/>
      <c r="B45" s="297"/>
      <c r="E45" s="389"/>
      <c r="F45" s="799"/>
      <c r="G45" s="799"/>
      <c r="H45" s="799"/>
      <c r="I45" s="799"/>
      <c r="J45" s="799"/>
      <c r="K45" s="799"/>
      <c r="L45" s="799"/>
      <c r="M45" s="799"/>
      <c r="N45" s="799"/>
      <c r="O45" s="799"/>
      <c r="P45" s="799"/>
      <c r="Q45" s="799"/>
      <c r="R45" s="799"/>
      <c r="S45" s="799"/>
      <c r="T45" s="799"/>
      <c r="U45" s="799"/>
      <c r="V45" s="799"/>
    </row>
    <row r="46" spans="1:22" ht="12.75">
      <c r="A46" s="390"/>
      <c r="B46" s="297"/>
      <c r="E46" s="389"/>
      <c r="F46" s="799"/>
      <c r="G46" s="799"/>
      <c r="H46" s="799"/>
      <c r="I46" s="799"/>
      <c r="J46" s="799"/>
      <c r="K46" s="799"/>
      <c r="L46" s="799"/>
      <c r="M46" s="799"/>
      <c r="N46" s="799"/>
      <c r="O46" s="799"/>
      <c r="P46" s="799"/>
      <c r="Q46" s="799"/>
      <c r="R46" s="799"/>
      <c r="S46" s="799"/>
      <c r="T46" s="799"/>
      <c r="U46" s="799"/>
      <c r="V46" s="799"/>
    </row>
    <row r="47" spans="1:22" ht="12.75">
      <c r="A47" s="390"/>
      <c r="B47" s="297"/>
      <c r="E47" s="389"/>
      <c r="F47" s="799"/>
      <c r="G47" s="799"/>
      <c r="H47" s="799"/>
      <c r="I47" s="799"/>
      <c r="J47" s="799"/>
      <c r="K47" s="799"/>
      <c r="L47" s="799"/>
      <c r="M47" s="799"/>
      <c r="N47" s="799"/>
      <c r="O47" s="799"/>
      <c r="P47" s="799"/>
      <c r="Q47" s="799"/>
      <c r="R47" s="799"/>
      <c r="S47" s="799"/>
      <c r="T47" s="799"/>
      <c r="U47" s="799"/>
      <c r="V47" s="799"/>
    </row>
    <row r="48" spans="1:22" ht="12.75">
      <c r="A48" s="390"/>
      <c r="B48" s="297"/>
      <c r="E48" s="389"/>
      <c r="F48" s="799"/>
      <c r="G48" s="799"/>
      <c r="H48" s="799"/>
      <c r="I48" s="799"/>
      <c r="J48" s="799"/>
      <c r="K48" s="799"/>
      <c r="L48" s="799"/>
      <c r="M48" s="799"/>
      <c r="N48" s="799"/>
      <c r="O48" s="799"/>
      <c r="P48" s="799"/>
      <c r="Q48" s="799"/>
      <c r="R48" s="799"/>
      <c r="S48" s="799"/>
      <c r="T48" s="799"/>
      <c r="U48" s="799"/>
      <c r="V48" s="799"/>
    </row>
    <row r="49" spans="1:22" ht="12.75">
      <c r="A49" s="390"/>
      <c r="B49" s="297"/>
      <c r="E49" s="389"/>
      <c r="F49" s="799"/>
      <c r="G49" s="799"/>
      <c r="H49" s="799"/>
      <c r="I49" s="799"/>
      <c r="J49" s="799"/>
      <c r="K49" s="799"/>
      <c r="L49" s="799"/>
      <c r="M49" s="799"/>
      <c r="N49" s="799"/>
      <c r="O49" s="799"/>
      <c r="P49" s="799"/>
      <c r="Q49" s="799"/>
      <c r="R49" s="799"/>
      <c r="S49" s="799"/>
      <c r="T49" s="799"/>
      <c r="U49" s="799"/>
      <c r="V49" s="799"/>
    </row>
    <row r="50" spans="1:22" ht="12.75">
      <c r="A50" s="388"/>
      <c r="B50" s="387"/>
      <c r="C50" s="446"/>
      <c r="D50" s="446"/>
      <c r="E50" s="386"/>
      <c r="F50" s="799"/>
      <c r="G50" s="799"/>
      <c r="H50" s="799"/>
      <c r="I50" s="799"/>
      <c r="J50" s="799"/>
      <c r="K50" s="799"/>
      <c r="L50" s="799"/>
      <c r="M50" s="799"/>
      <c r="N50" s="799"/>
      <c r="O50" s="799"/>
      <c r="P50" s="799"/>
      <c r="Q50" s="799"/>
      <c r="R50" s="799"/>
      <c r="S50" s="799"/>
      <c r="T50" s="799"/>
      <c r="U50" s="799"/>
      <c r="V50" s="799"/>
    </row>
    <row r="51" spans="1:22" ht="12.75">
      <c r="A51" s="393" t="s">
        <v>3024</v>
      </c>
      <c r="B51" s="392"/>
      <c r="C51" s="445"/>
      <c r="D51" s="445"/>
      <c r="E51" s="391"/>
      <c r="F51" s="799"/>
      <c r="G51" s="799"/>
      <c r="H51" s="799"/>
      <c r="I51" s="799"/>
      <c r="J51" s="799"/>
      <c r="K51" s="799"/>
      <c r="L51" s="799"/>
      <c r="M51" s="799"/>
      <c r="N51" s="799"/>
      <c r="O51" s="799"/>
      <c r="P51" s="799"/>
      <c r="Q51" s="799"/>
      <c r="R51" s="799"/>
      <c r="S51" s="799"/>
      <c r="T51" s="799"/>
      <c r="U51" s="799"/>
      <c r="V51" s="799"/>
    </row>
    <row r="52" spans="1:22" ht="12.75">
      <c r="A52" s="390"/>
      <c r="B52" s="297"/>
      <c r="E52" s="389"/>
      <c r="F52" s="799"/>
      <c r="G52" s="799"/>
      <c r="H52" s="799"/>
      <c r="I52" s="799"/>
      <c r="J52" s="799"/>
      <c r="K52" s="799"/>
      <c r="L52" s="799"/>
      <c r="M52" s="799"/>
      <c r="N52" s="799"/>
      <c r="O52" s="799"/>
      <c r="P52" s="799"/>
      <c r="Q52" s="799"/>
      <c r="R52" s="799"/>
      <c r="S52" s="799"/>
      <c r="T52" s="799"/>
      <c r="U52" s="799"/>
      <c r="V52" s="799"/>
    </row>
    <row r="53" spans="1:22" ht="12.75">
      <c r="A53" s="390"/>
      <c r="B53" s="297"/>
      <c r="E53" s="389"/>
      <c r="F53" s="799"/>
      <c r="G53" s="799"/>
      <c r="H53" s="799"/>
      <c r="I53" s="799"/>
      <c r="J53" s="799"/>
      <c r="K53" s="799"/>
      <c r="L53" s="799"/>
      <c r="M53" s="799"/>
      <c r="N53" s="799"/>
      <c r="O53" s="799"/>
      <c r="P53" s="799"/>
      <c r="Q53" s="799"/>
      <c r="R53" s="799"/>
      <c r="S53" s="799"/>
      <c r="T53" s="799"/>
      <c r="U53" s="799"/>
      <c r="V53" s="799"/>
    </row>
    <row r="54" spans="1:22" ht="12.75">
      <c r="A54" s="390"/>
      <c r="B54" s="297"/>
      <c r="E54" s="389"/>
      <c r="F54" s="799"/>
      <c r="G54" s="799"/>
      <c r="H54" s="799"/>
      <c r="I54" s="799"/>
      <c r="J54" s="799"/>
      <c r="K54" s="799"/>
      <c r="L54" s="799"/>
      <c r="M54" s="799"/>
      <c r="N54" s="799"/>
      <c r="O54" s="799"/>
      <c r="P54" s="799"/>
      <c r="Q54" s="799"/>
      <c r="R54" s="799"/>
      <c r="S54" s="799"/>
      <c r="T54" s="799"/>
      <c r="U54" s="799"/>
      <c r="V54" s="799"/>
    </row>
    <row r="55" spans="1:22" ht="12.75">
      <c r="A55" s="390"/>
      <c r="B55" s="297"/>
      <c r="E55" s="389"/>
      <c r="F55" s="799"/>
      <c r="G55" s="799"/>
      <c r="H55" s="799"/>
      <c r="I55" s="799"/>
      <c r="J55" s="799"/>
      <c r="K55" s="799"/>
      <c r="L55" s="799"/>
      <c r="M55" s="799"/>
      <c r="N55" s="799"/>
      <c r="O55" s="799"/>
      <c r="P55" s="799"/>
      <c r="Q55" s="799"/>
      <c r="R55" s="799"/>
      <c r="S55" s="799"/>
      <c r="T55" s="799"/>
      <c r="U55" s="799"/>
      <c r="V55" s="799"/>
    </row>
    <row r="56" spans="1:22" ht="12.75">
      <c r="A56" s="390"/>
      <c r="B56" s="297"/>
      <c r="E56" s="389"/>
      <c r="F56" s="799"/>
      <c r="G56" s="799"/>
      <c r="H56" s="799"/>
      <c r="I56" s="799"/>
      <c r="J56" s="799"/>
      <c r="K56" s="799"/>
      <c r="L56" s="799"/>
      <c r="M56" s="799"/>
      <c r="N56" s="799"/>
      <c r="O56" s="799"/>
      <c r="P56" s="799"/>
      <c r="Q56" s="799"/>
      <c r="R56" s="799"/>
      <c r="S56" s="799"/>
      <c r="T56" s="799"/>
      <c r="U56" s="799"/>
      <c r="V56" s="799"/>
    </row>
    <row r="57" spans="1:22" ht="12.75">
      <c r="A57" s="390"/>
      <c r="B57" s="297"/>
      <c r="E57" s="389"/>
      <c r="F57" s="799"/>
      <c r="G57" s="799"/>
      <c r="H57" s="799"/>
      <c r="I57" s="799"/>
      <c r="J57" s="799"/>
      <c r="K57" s="799"/>
      <c r="L57" s="799"/>
      <c r="M57" s="799"/>
      <c r="N57" s="799"/>
      <c r="O57" s="799"/>
      <c r="P57" s="799"/>
      <c r="Q57" s="799"/>
      <c r="R57" s="799"/>
      <c r="S57" s="799"/>
      <c r="T57" s="799"/>
      <c r="U57" s="799"/>
      <c r="V57" s="799"/>
    </row>
    <row r="58" spans="1:22" ht="12.75">
      <c r="A58" s="390"/>
      <c r="B58" s="297"/>
      <c r="E58" s="389"/>
      <c r="F58" s="799"/>
      <c r="G58" s="799"/>
      <c r="H58" s="799"/>
      <c r="I58" s="799"/>
      <c r="J58" s="799"/>
      <c r="K58" s="799"/>
      <c r="L58" s="799"/>
      <c r="M58" s="799"/>
      <c r="N58" s="799"/>
      <c r="O58" s="799"/>
      <c r="P58" s="799"/>
      <c r="Q58" s="799"/>
      <c r="R58" s="799"/>
      <c r="S58" s="799"/>
      <c r="T58" s="799"/>
      <c r="U58" s="799"/>
      <c r="V58" s="799"/>
    </row>
    <row r="59" spans="1:22" ht="12.75">
      <c r="A59" s="390"/>
      <c r="B59" s="297"/>
      <c r="E59" s="389"/>
      <c r="F59" s="799"/>
      <c r="G59" s="799"/>
      <c r="H59" s="799"/>
      <c r="I59" s="799"/>
      <c r="J59" s="799"/>
      <c r="K59" s="799"/>
      <c r="L59" s="799"/>
      <c r="M59" s="799"/>
      <c r="N59" s="799"/>
      <c r="O59" s="799"/>
      <c r="P59" s="799"/>
      <c r="Q59" s="799"/>
      <c r="R59" s="799"/>
      <c r="S59" s="799"/>
      <c r="T59" s="799"/>
      <c r="U59" s="799"/>
      <c r="V59" s="799"/>
    </row>
    <row r="60" spans="1:22" ht="12.75">
      <c r="A60" s="388"/>
      <c r="B60" s="387"/>
      <c r="C60" s="446"/>
      <c r="D60" s="446"/>
      <c r="E60" s="386"/>
      <c r="F60" s="799"/>
      <c r="G60" s="799"/>
      <c r="H60" s="799"/>
      <c r="I60" s="799"/>
      <c r="J60" s="799"/>
      <c r="K60" s="799"/>
      <c r="L60" s="799"/>
      <c r="M60" s="799"/>
      <c r="N60" s="799"/>
      <c r="O60" s="799"/>
      <c r="P60" s="799"/>
      <c r="Q60" s="799"/>
      <c r="R60" s="799"/>
      <c r="S60" s="799"/>
      <c r="T60" s="799"/>
      <c r="U60" s="799"/>
      <c r="V60" s="799"/>
    </row>
    <row r="61" spans="1:22" ht="15" customHeight="1">
      <c r="A61" s="295" t="s">
        <v>3023</v>
      </c>
      <c r="B61" s="297"/>
      <c r="C61" s="297"/>
      <c r="D61" s="297"/>
      <c r="E61" s="297"/>
      <c r="F61" s="297"/>
      <c r="G61" s="297"/>
      <c r="H61" s="297"/>
      <c r="I61" s="297"/>
      <c r="J61" s="297"/>
      <c r="K61" s="297"/>
      <c r="L61" s="297"/>
    </row>
    <row r="62" spans="1:22" ht="15" customHeight="1">
      <c r="A62" s="295" t="s">
        <v>3022</v>
      </c>
      <c r="B62" s="297"/>
      <c r="C62" s="297"/>
      <c r="D62" s="297"/>
      <c r="E62" s="297"/>
      <c r="F62" s="297"/>
      <c r="G62" s="297"/>
      <c r="H62" s="297"/>
      <c r="I62" s="297"/>
      <c r="J62" s="297"/>
      <c r="K62" s="297"/>
      <c r="L62" s="297"/>
    </row>
    <row r="63" spans="1:22" ht="15" customHeight="1">
      <c r="A63" s="295" t="s">
        <v>3021</v>
      </c>
      <c r="B63" s="297"/>
      <c r="C63" s="297"/>
      <c r="D63" s="297"/>
      <c r="E63" s="297"/>
      <c r="F63" s="297"/>
      <c r="G63" s="297"/>
      <c r="H63" s="297"/>
      <c r="I63" s="297"/>
      <c r="J63" s="297"/>
      <c r="K63" s="297"/>
      <c r="L63" s="297"/>
    </row>
    <row r="64" spans="1:22" ht="15" customHeight="1">
      <c r="A64" s="295" t="s">
        <v>3020</v>
      </c>
      <c r="B64" s="297"/>
      <c r="C64" s="297"/>
      <c r="D64" s="297"/>
      <c r="E64" s="297"/>
      <c r="F64" s="297"/>
      <c r="G64" s="297"/>
      <c r="H64" s="297"/>
      <c r="I64" s="297"/>
      <c r="J64" s="297"/>
      <c r="K64" s="297"/>
      <c r="L64" s="297"/>
    </row>
    <row r="65" spans="1:12" ht="11.25" customHeight="1">
      <c r="A65" s="297"/>
      <c r="B65" s="297"/>
      <c r="C65" s="297"/>
      <c r="D65" s="297"/>
      <c r="E65" s="297"/>
      <c r="F65" s="297"/>
      <c r="G65" s="297"/>
      <c r="H65" s="297"/>
      <c r="I65" s="297"/>
      <c r="J65" s="297"/>
      <c r="K65" s="297"/>
      <c r="L65" s="297"/>
    </row>
  </sheetData>
  <mergeCells count="20">
    <mergeCell ref="F31:V50"/>
    <mergeCell ref="F51:V60"/>
    <mergeCell ref="F29:M30"/>
    <mergeCell ref="N29:V30"/>
    <mergeCell ref="J27:K28"/>
    <mergeCell ref="A1:D1"/>
    <mergeCell ref="A3:V5"/>
    <mergeCell ref="M15:V16"/>
    <mergeCell ref="A10:J10"/>
    <mergeCell ref="P8:Q8"/>
    <mergeCell ref="AE18:AF18"/>
    <mergeCell ref="L27:L28"/>
    <mergeCell ref="N27:N28"/>
    <mergeCell ref="P27:P28"/>
    <mergeCell ref="O27:O28"/>
    <mergeCell ref="M27:M28"/>
    <mergeCell ref="M17:V18"/>
    <mergeCell ref="F23:V24"/>
    <mergeCell ref="F25:V26"/>
    <mergeCell ref="A20:V21"/>
  </mergeCells>
  <phoneticPr fontId="57"/>
  <printOptions horizontalCentered="1"/>
  <pageMargins left="0.39370078740157483" right="0.39370078740157483" top="0.59055118110236227" bottom="0.59055118110236227"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zoomScale="70" zoomScaleNormal="70" zoomScaleSheetLayoutView="70" workbookViewId="0">
      <selection activeCell="J17" sqref="J17"/>
    </sheetView>
  </sheetViews>
  <sheetFormatPr defaultColWidth="3.75" defaultRowHeight="17.25" customHeight="1"/>
  <cols>
    <col min="1" max="1" width="2.5" style="295" customWidth="1"/>
    <col min="2" max="2" width="3" style="295" customWidth="1"/>
    <col min="3" max="4" width="2.25" style="295" customWidth="1"/>
    <col min="5" max="8" width="4.125" style="295" customWidth="1"/>
    <col min="9" max="9" width="1.25" style="295" customWidth="1"/>
    <col min="10" max="23" width="4.125" style="295" customWidth="1"/>
    <col min="24" max="24" width="2.625" style="295" customWidth="1"/>
    <col min="25" max="256" width="3.75" style="295" customWidth="1"/>
    <col min="257" max="257" width="2.5" style="295" customWidth="1"/>
    <col min="258" max="258" width="3" style="295" customWidth="1"/>
    <col min="259" max="260" width="2.25" style="295" customWidth="1"/>
    <col min="261" max="264" width="4.125" style="295" customWidth="1"/>
    <col min="265" max="265" width="1.25" style="295" customWidth="1"/>
    <col min="266" max="279" width="4.125" style="295" customWidth="1"/>
    <col min="280" max="280" width="2.625" style="295" customWidth="1"/>
    <col min="281" max="512" width="3.75" style="295" customWidth="1"/>
    <col min="513" max="513" width="2.5" style="295" customWidth="1"/>
    <col min="514" max="514" width="3" style="295" customWidth="1"/>
    <col min="515" max="516" width="2.25" style="295" customWidth="1"/>
    <col min="517" max="520" width="4.125" style="295" customWidth="1"/>
    <col min="521" max="521" width="1.25" style="295" customWidth="1"/>
    <col min="522" max="535" width="4.125" style="295" customWidth="1"/>
    <col min="536" max="536" width="2.625" style="295" customWidth="1"/>
    <col min="537" max="768" width="3.75" style="295" customWidth="1"/>
    <col min="769" max="769" width="2.5" style="295" customWidth="1"/>
    <col min="770" max="770" width="3" style="295" customWidth="1"/>
    <col min="771" max="772" width="2.25" style="295" customWidth="1"/>
    <col min="773" max="776" width="4.125" style="295" customWidth="1"/>
    <col min="777" max="777" width="1.25" style="295" customWidth="1"/>
    <col min="778" max="791" width="4.125" style="295" customWidth="1"/>
    <col min="792" max="792" width="2.625" style="295" customWidth="1"/>
    <col min="793" max="1024" width="3.75" style="295" customWidth="1"/>
    <col min="1025" max="1025" width="2.5" style="295" customWidth="1"/>
    <col min="1026" max="1026" width="3" style="295" customWidth="1"/>
    <col min="1027" max="1028" width="2.25" style="295" customWidth="1"/>
    <col min="1029" max="1032" width="4.125" style="295" customWidth="1"/>
    <col min="1033" max="1033" width="1.25" style="295" customWidth="1"/>
    <col min="1034" max="1047" width="4.125" style="295" customWidth="1"/>
    <col min="1048" max="1048" width="2.625" style="295" customWidth="1"/>
    <col min="1049" max="1280" width="3.75" style="295" customWidth="1"/>
    <col min="1281" max="1281" width="2.5" style="295" customWidth="1"/>
    <col min="1282" max="1282" width="3" style="295" customWidth="1"/>
    <col min="1283" max="1284" width="2.25" style="295" customWidth="1"/>
    <col min="1285" max="1288" width="4.125" style="295" customWidth="1"/>
    <col min="1289" max="1289" width="1.25" style="295" customWidth="1"/>
    <col min="1290" max="1303" width="4.125" style="295" customWidth="1"/>
    <col min="1304" max="1304" width="2.625" style="295" customWidth="1"/>
    <col min="1305" max="1536" width="3.75" style="295" customWidth="1"/>
    <col min="1537" max="1537" width="2.5" style="295" customWidth="1"/>
    <col min="1538" max="1538" width="3" style="295" customWidth="1"/>
    <col min="1539" max="1540" width="2.25" style="295" customWidth="1"/>
    <col min="1541" max="1544" width="4.125" style="295" customWidth="1"/>
    <col min="1545" max="1545" width="1.25" style="295" customWidth="1"/>
    <col min="1546" max="1559" width="4.125" style="295" customWidth="1"/>
    <col min="1560" max="1560" width="2.625" style="295" customWidth="1"/>
    <col min="1561" max="1792" width="3.75" style="295" customWidth="1"/>
    <col min="1793" max="1793" width="2.5" style="295" customWidth="1"/>
    <col min="1794" max="1794" width="3" style="295" customWidth="1"/>
    <col min="1795" max="1796" width="2.25" style="295" customWidth="1"/>
    <col min="1797" max="1800" width="4.125" style="295" customWidth="1"/>
    <col min="1801" max="1801" width="1.25" style="295" customWidth="1"/>
    <col min="1802" max="1815" width="4.125" style="295" customWidth="1"/>
    <col min="1816" max="1816" width="2.625" style="295" customWidth="1"/>
    <col min="1817" max="2048" width="3.75" style="295" customWidth="1"/>
    <col min="2049" max="2049" width="2.5" style="295" customWidth="1"/>
    <col min="2050" max="2050" width="3" style="295" customWidth="1"/>
    <col min="2051" max="2052" width="2.25" style="295" customWidth="1"/>
    <col min="2053" max="2056" width="4.125" style="295" customWidth="1"/>
    <col min="2057" max="2057" width="1.25" style="295" customWidth="1"/>
    <col min="2058" max="2071" width="4.125" style="295" customWidth="1"/>
    <col min="2072" max="2072" width="2.625" style="295" customWidth="1"/>
    <col min="2073" max="2304" width="3.75" style="295" customWidth="1"/>
    <col min="2305" max="2305" width="2.5" style="295" customWidth="1"/>
    <col min="2306" max="2306" width="3" style="295" customWidth="1"/>
    <col min="2307" max="2308" width="2.25" style="295" customWidth="1"/>
    <col min="2309" max="2312" width="4.125" style="295" customWidth="1"/>
    <col min="2313" max="2313" width="1.25" style="295" customWidth="1"/>
    <col min="2314" max="2327" width="4.125" style="295" customWidth="1"/>
    <col min="2328" max="2328" width="2.625" style="295" customWidth="1"/>
    <col min="2329" max="2560" width="3.75" style="295" customWidth="1"/>
    <col min="2561" max="2561" width="2.5" style="295" customWidth="1"/>
    <col min="2562" max="2562" width="3" style="295" customWidth="1"/>
    <col min="2563" max="2564" width="2.25" style="295" customWidth="1"/>
    <col min="2565" max="2568" width="4.125" style="295" customWidth="1"/>
    <col min="2569" max="2569" width="1.25" style="295" customWidth="1"/>
    <col min="2570" max="2583" width="4.125" style="295" customWidth="1"/>
    <col min="2584" max="2584" width="2.625" style="295" customWidth="1"/>
    <col min="2585" max="2816" width="3.75" style="295" customWidth="1"/>
    <col min="2817" max="2817" width="2.5" style="295" customWidth="1"/>
    <col min="2818" max="2818" width="3" style="295" customWidth="1"/>
    <col min="2819" max="2820" width="2.25" style="295" customWidth="1"/>
    <col min="2821" max="2824" width="4.125" style="295" customWidth="1"/>
    <col min="2825" max="2825" width="1.25" style="295" customWidth="1"/>
    <col min="2826" max="2839" width="4.125" style="295" customWidth="1"/>
    <col min="2840" max="2840" width="2.625" style="295" customWidth="1"/>
    <col min="2841" max="3072" width="3.75" style="295" customWidth="1"/>
    <col min="3073" max="3073" width="2.5" style="295" customWidth="1"/>
    <col min="3074" max="3074" width="3" style="295" customWidth="1"/>
    <col min="3075" max="3076" width="2.25" style="295" customWidth="1"/>
    <col min="3077" max="3080" width="4.125" style="295" customWidth="1"/>
    <col min="3081" max="3081" width="1.25" style="295" customWidth="1"/>
    <col min="3082" max="3095" width="4.125" style="295" customWidth="1"/>
    <col min="3096" max="3096" width="2.625" style="295" customWidth="1"/>
    <col min="3097" max="3328" width="3.75" style="295" customWidth="1"/>
    <col min="3329" max="3329" width="2.5" style="295" customWidth="1"/>
    <col min="3330" max="3330" width="3" style="295" customWidth="1"/>
    <col min="3331" max="3332" width="2.25" style="295" customWidth="1"/>
    <col min="3333" max="3336" width="4.125" style="295" customWidth="1"/>
    <col min="3337" max="3337" width="1.25" style="295" customWidth="1"/>
    <col min="3338" max="3351" width="4.125" style="295" customWidth="1"/>
    <col min="3352" max="3352" width="2.625" style="295" customWidth="1"/>
    <col min="3353" max="3584" width="3.75" style="295" customWidth="1"/>
    <col min="3585" max="3585" width="2.5" style="295" customWidth="1"/>
    <col min="3586" max="3586" width="3" style="295" customWidth="1"/>
    <col min="3587" max="3588" width="2.25" style="295" customWidth="1"/>
    <col min="3589" max="3592" width="4.125" style="295" customWidth="1"/>
    <col min="3593" max="3593" width="1.25" style="295" customWidth="1"/>
    <col min="3594" max="3607" width="4.125" style="295" customWidth="1"/>
    <col min="3608" max="3608" width="2.625" style="295" customWidth="1"/>
    <col min="3609" max="3840" width="3.75" style="295" customWidth="1"/>
    <col min="3841" max="3841" width="2.5" style="295" customWidth="1"/>
    <col min="3842" max="3842" width="3" style="295" customWidth="1"/>
    <col min="3843" max="3844" width="2.25" style="295" customWidth="1"/>
    <col min="3845" max="3848" width="4.125" style="295" customWidth="1"/>
    <col min="3849" max="3849" width="1.25" style="295" customWidth="1"/>
    <col min="3850" max="3863" width="4.125" style="295" customWidth="1"/>
    <col min="3864" max="3864" width="2.625" style="295" customWidth="1"/>
    <col min="3865" max="4096" width="3.75" style="295" customWidth="1"/>
    <col min="4097" max="4097" width="2.5" style="295" customWidth="1"/>
    <col min="4098" max="4098" width="3" style="295" customWidth="1"/>
    <col min="4099" max="4100" width="2.25" style="295" customWidth="1"/>
    <col min="4101" max="4104" width="4.125" style="295" customWidth="1"/>
    <col min="4105" max="4105" width="1.25" style="295" customWidth="1"/>
    <col min="4106" max="4119" width="4.125" style="295" customWidth="1"/>
    <col min="4120" max="4120" width="2.625" style="295" customWidth="1"/>
    <col min="4121" max="4352" width="3.75" style="295" customWidth="1"/>
    <col min="4353" max="4353" width="2.5" style="295" customWidth="1"/>
    <col min="4354" max="4354" width="3" style="295" customWidth="1"/>
    <col min="4355" max="4356" width="2.25" style="295" customWidth="1"/>
    <col min="4357" max="4360" width="4.125" style="295" customWidth="1"/>
    <col min="4361" max="4361" width="1.25" style="295" customWidth="1"/>
    <col min="4362" max="4375" width="4.125" style="295" customWidth="1"/>
    <col min="4376" max="4376" width="2.625" style="295" customWidth="1"/>
    <col min="4377" max="4608" width="3.75" style="295" customWidth="1"/>
    <col min="4609" max="4609" width="2.5" style="295" customWidth="1"/>
    <col min="4610" max="4610" width="3" style="295" customWidth="1"/>
    <col min="4611" max="4612" width="2.25" style="295" customWidth="1"/>
    <col min="4613" max="4616" width="4.125" style="295" customWidth="1"/>
    <col min="4617" max="4617" width="1.25" style="295" customWidth="1"/>
    <col min="4618" max="4631" width="4.125" style="295" customWidth="1"/>
    <col min="4632" max="4632" width="2.625" style="295" customWidth="1"/>
    <col min="4633" max="4864" width="3.75" style="295" customWidth="1"/>
    <col min="4865" max="4865" width="2.5" style="295" customWidth="1"/>
    <col min="4866" max="4866" width="3" style="295" customWidth="1"/>
    <col min="4867" max="4868" width="2.25" style="295" customWidth="1"/>
    <col min="4869" max="4872" width="4.125" style="295" customWidth="1"/>
    <col min="4873" max="4873" width="1.25" style="295" customWidth="1"/>
    <col min="4874" max="4887" width="4.125" style="295" customWidth="1"/>
    <col min="4888" max="4888" width="2.625" style="295" customWidth="1"/>
    <col min="4889" max="5120" width="3.75" style="295" customWidth="1"/>
    <col min="5121" max="5121" width="2.5" style="295" customWidth="1"/>
    <col min="5122" max="5122" width="3" style="295" customWidth="1"/>
    <col min="5123" max="5124" width="2.25" style="295" customWidth="1"/>
    <col min="5125" max="5128" width="4.125" style="295" customWidth="1"/>
    <col min="5129" max="5129" width="1.25" style="295" customWidth="1"/>
    <col min="5130" max="5143" width="4.125" style="295" customWidth="1"/>
    <col min="5144" max="5144" width="2.625" style="295" customWidth="1"/>
    <col min="5145" max="5376" width="3.75" style="295" customWidth="1"/>
    <col min="5377" max="5377" width="2.5" style="295" customWidth="1"/>
    <col min="5378" max="5378" width="3" style="295" customWidth="1"/>
    <col min="5379" max="5380" width="2.25" style="295" customWidth="1"/>
    <col min="5381" max="5384" width="4.125" style="295" customWidth="1"/>
    <col min="5385" max="5385" width="1.25" style="295" customWidth="1"/>
    <col min="5386" max="5399" width="4.125" style="295" customWidth="1"/>
    <col min="5400" max="5400" width="2.625" style="295" customWidth="1"/>
    <col min="5401" max="5632" width="3.75" style="295" customWidth="1"/>
    <col min="5633" max="5633" width="2.5" style="295" customWidth="1"/>
    <col min="5634" max="5634" width="3" style="295" customWidth="1"/>
    <col min="5635" max="5636" width="2.25" style="295" customWidth="1"/>
    <col min="5637" max="5640" width="4.125" style="295" customWidth="1"/>
    <col min="5641" max="5641" width="1.25" style="295" customWidth="1"/>
    <col min="5642" max="5655" width="4.125" style="295" customWidth="1"/>
    <col min="5656" max="5656" width="2.625" style="295" customWidth="1"/>
    <col min="5657" max="5888" width="3.75" style="295" customWidth="1"/>
    <col min="5889" max="5889" width="2.5" style="295" customWidth="1"/>
    <col min="5890" max="5890" width="3" style="295" customWidth="1"/>
    <col min="5891" max="5892" width="2.25" style="295" customWidth="1"/>
    <col min="5893" max="5896" width="4.125" style="295" customWidth="1"/>
    <col min="5897" max="5897" width="1.25" style="295" customWidth="1"/>
    <col min="5898" max="5911" width="4.125" style="295" customWidth="1"/>
    <col min="5912" max="5912" width="2.625" style="295" customWidth="1"/>
    <col min="5913" max="6144" width="3.75" style="295" customWidth="1"/>
    <col min="6145" max="6145" width="2.5" style="295" customWidth="1"/>
    <col min="6146" max="6146" width="3" style="295" customWidth="1"/>
    <col min="6147" max="6148" width="2.25" style="295" customWidth="1"/>
    <col min="6149" max="6152" width="4.125" style="295" customWidth="1"/>
    <col min="6153" max="6153" width="1.25" style="295" customWidth="1"/>
    <col min="6154" max="6167" width="4.125" style="295" customWidth="1"/>
    <col min="6168" max="6168" width="2.625" style="295" customWidth="1"/>
    <col min="6169" max="6400" width="3.75" style="295" customWidth="1"/>
    <col min="6401" max="6401" width="2.5" style="295" customWidth="1"/>
    <col min="6402" max="6402" width="3" style="295" customWidth="1"/>
    <col min="6403" max="6404" width="2.25" style="295" customWidth="1"/>
    <col min="6405" max="6408" width="4.125" style="295" customWidth="1"/>
    <col min="6409" max="6409" width="1.25" style="295" customWidth="1"/>
    <col min="6410" max="6423" width="4.125" style="295" customWidth="1"/>
    <col min="6424" max="6424" width="2.625" style="295" customWidth="1"/>
    <col min="6425" max="6656" width="3.75" style="295" customWidth="1"/>
    <col min="6657" max="6657" width="2.5" style="295" customWidth="1"/>
    <col min="6658" max="6658" width="3" style="295" customWidth="1"/>
    <col min="6659" max="6660" width="2.25" style="295" customWidth="1"/>
    <col min="6661" max="6664" width="4.125" style="295" customWidth="1"/>
    <col min="6665" max="6665" width="1.25" style="295" customWidth="1"/>
    <col min="6666" max="6679" width="4.125" style="295" customWidth="1"/>
    <col min="6680" max="6680" width="2.625" style="295" customWidth="1"/>
    <col min="6681" max="6912" width="3.75" style="295" customWidth="1"/>
    <col min="6913" max="6913" width="2.5" style="295" customWidth="1"/>
    <col min="6914" max="6914" width="3" style="295" customWidth="1"/>
    <col min="6915" max="6916" width="2.25" style="295" customWidth="1"/>
    <col min="6917" max="6920" width="4.125" style="295" customWidth="1"/>
    <col min="6921" max="6921" width="1.25" style="295" customWidth="1"/>
    <col min="6922" max="6935" width="4.125" style="295" customWidth="1"/>
    <col min="6936" max="6936" width="2.625" style="295" customWidth="1"/>
    <col min="6937" max="7168" width="3.75" style="295" customWidth="1"/>
    <col min="7169" max="7169" width="2.5" style="295" customWidth="1"/>
    <col min="7170" max="7170" width="3" style="295" customWidth="1"/>
    <col min="7171" max="7172" width="2.25" style="295" customWidth="1"/>
    <col min="7173" max="7176" width="4.125" style="295" customWidth="1"/>
    <col min="7177" max="7177" width="1.25" style="295" customWidth="1"/>
    <col min="7178" max="7191" width="4.125" style="295" customWidth="1"/>
    <col min="7192" max="7192" width="2.625" style="295" customWidth="1"/>
    <col min="7193" max="7424" width="3.75" style="295" customWidth="1"/>
    <col min="7425" max="7425" width="2.5" style="295" customWidth="1"/>
    <col min="7426" max="7426" width="3" style="295" customWidth="1"/>
    <col min="7427" max="7428" width="2.25" style="295" customWidth="1"/>
    <col min="7429" max="7432" width="4.125" style="295" customWidth="1"/>
    <col min="7433" max="7433" width="1.25" style="295" customWidth="1"/>
    <col min="7434" max="7447" width="4.125" style="295" customWidth="1"/>
    <col min="7448" max="7448" width="2.625" style="295" customWidth="1"/>
    <col min="7449" max="7680" width="3.75" style="295" customWidth="1"/>
    <col min="7681" max="7681" width="2.5" style="295" customWidth="1"/>
    <col min="7682" max="7682" width="3" style="295" customWidth="1"/>
    <col min="7683" max="7684" width="2.25" style="295" customWidth="1"/>
    <col min="7685" max="7688" width="4.125" style="295" customWidth="1"/>
    <col min="7689" max="7689" width="1.25" style="295" customWidth="1"/>
    <col min="7690" max="7703" width="4.125" style="295" customWidth="1"/>
    <col min="7704" max="7704" width="2.625" style="295" customWidth="1"/>
    <col min="7705" max="7936" width="3.75" style="295" customWidth="1"/>
    <col min="7937" max="7937" width="2.5" style="295" customWidth="1"/>
    <col min="7938" max="7938" width="3" style="295" customWidth="1"/>
    <col min="7939" max="7940" width="2.25" style="295" customWidth="1"/>
    <col min="7941" max="7944" width="4.125" style="295" customWidth="1"/>
    <col min="7945" max="7945" width="1.25" style="295" customWidth="1"/>
    <col min="7946" max="7959" width="4.125" style="295" customWidth="1"/>
    <col min="7960" max="7960" width="2.625" style="295" customWidth="1"/>
    <col min="7961" max="8192" width="3.75" style="295" customWidth="1"/>
    <col min="8193" max="8193" width="2.5" style="295" customWidth="1"/>
    <col min="8194" max="8194" width="3" style="295" customWidth="1"/>
    <col min="8195" max="8196" width="2.25" style="295" customWidth="1"/>
    <col min="8197" max="8200" width="4.125" style="295" customWidth="1"/>
    <col min="8201" max="8201" width="1.25" style="295" customWidth="1"/>
    <col min="8202" max="8215" width="4.125" style="295" customWidth="1"/>
    <col min="8216" max="8216" width="2.625" style="295" customWidth="1"/>
    <col min="8217" max="8448" width="3.75" style="295" customWidth="1"/>
    <col min="8449" max="8449" width="2.5" style="295" customWidth="1"/>
    <col min="8450" max="8450" width="3" style="295" customWidth="1"/>
    <col min="8451" max="8452" width="2.25" style="295" customWidth="1"/>
    <col min="8453" max="8456" width="4.125" style="295" customWidth="1"/>
    <col min="8457" max="8457" width="1.25" style="295" customWidth="1"/>
    <col min="8458" max="8471" width="4.125" style="295" customWidth="1"/>
    <col min="8472" max="8472" width="2.625" style="295" customWidth="1"/>
    <col min="8473" max="8704" width="3.75" style="295" customWidth="1"/>
    <col min="8705" max="8705" width="2.5" style="295" customWidth="1"/>
    <col min="8706" max="8706" width="3" style="295" customWidth="1"/>
    <col min="8707" max="8708" width="2.25" style="295" customWidth="1"/>
    <col min="8709" max="8712" width="4.125" style="295" customWidth="1"/>
    <col min="8713" max="8713" width="1.25" style="295" customWidth="1"/>
    <col min="8714" max="8727" width="4.125" style="295" customWidth="1"/>
    <col min="8728" max="8728" width="2.625" style="295" customWidth="1"/>
    <col min="8729" max="8960" width="3.75" style="295" customWidth="1"/>
    <col min="8961" max="8961" width="2.5" style="295" customWidth="1"/>
    <col min="8962" max="8962" width="3" style="295" customWidth="1"/>
    <col min="8963" max="8964" width="2.25" style="295" customWidth="1"/>
    <col min="8965" max="8968" width="4.125" style="295" customWidth="1"/>
    <col min="8969" max="8969" width="1.25" style="295" customWidth="1"/>
    <col min="8970" max="8983" width="4.125" style="295" customWidth="1"/>
    <col min="8984" max="8984" width="2.625" style="295" customWidth="1"/>
    <col min="8985" max="9216" width="3.75" style="295" customWidth="1"/>
    <col min="9217" max="9217" width="2.5" style="295" customWidth="1"/>
    <col min="9218" max="9218" width="3" style="295" customWidth="1"/>
    <col min="9219" max="9220" width="2.25" style="295" customWidth="1"/>
    <col min="9221" max="9224" width="4.125" style="295" customWidth="1"/>
    <col min="9225" max="9225" width="1.25" style="295" customWidth="1"/>
    <col min="9226" max="9239" width="4.125" style="295" customWidth="1"/>
    <col min="9240" max="9240" width="2.625" style="295" customWidth="1"/>
    <col min="9241" max="9472" width="3.75" style="295" customWidth="1"/>
    <col min="9473" max="9473" width="2.5" style="295" customWidth="1"/>
    <col min="9474" max="9474" width="3" style="295" customWidth="1"/>
    <col min="9475" max="9476" width="2.25" style="295" customWidth="1"/>
    <col min="9477" max="9480" width="4.125" style="295" customWidth="1"/>
    <col min="9481" max="9481" width="1.25" style="295" customWidth="1"/>
    <col min="9482" max="9495" width="4.125" style="295" customWidth="1"/>
    <col min="9496" max="9496" width="2.625" style="295" customWidth="1"/>
    <col min="9497" max="9728" width="3.75" style="295" customWidth="1"/>
    <col min="9729" max="9729" width="2.5" style="295" customWidth="1"/>
    <col min="9730" max="9730" width="3" style="295" customWidth="1"/>
    <col min="9731" max="9732" width="2.25" style="295" customWidth="1"/>
    <col min="9733" max="9736" width="4.125" style="295" customWidth="1"/>
    <col min="9737" max="9737" width="1.25" style="295" customWidth="1"/>
    <col min="9738" max="9751" width="4.125" style="295" customWidth="1"/>
    <col min="9752" max="9752" width="2.625" style="295" customWidth="1"/>
    <col min="9753" max="9984" width="3.75" style="295" customWidth="1"/>
    <col min="9985" max="9985" width="2.5" style="295" customWidth="1"/>
    <col min="9986" max="9986" width="3" style="295" customWidth="1"/>
    <col min="9987" max="9988" width="2.25" style="295" customWidth="1"/>
    <col min="9989" max="9992" width="4.125" style="295" customWidth="1"/>
    <col min="9993" max="9993" width="1.25" style="295" customWidth="1"/>
    <col min="9994" max="10007" width="4.125" style="295" customWidth="1"/>
    <col min="10008" max="10008" width="2.625" style="295" customWidth="1"/>
    <col min="10009" max="10240" width="3.75" style="295" customWidth="1"/>
    <col min="10241" max="10241" width="2.5" style="295" customWidth="1"/>
    <col min="10242" max="10242" width="3" style="295" customWidth="1"/>
    <col min="10243" max="10244" width="2.25" style="295" customWidth="1"/>
    <col min="10245" max="10248" width="4.125" style="295" customWidth="1"/>
    <col min="10249" max="10249" width="1.25" style="295" customWidth="1"/>
    <col min="10250" max="10263" width="4.125" style="295" customWidth="1"/>
    <col min="10264" max="10264" width="2.625" style="295" customWidth="1"/>
    <col min="10265" max="10496" width="3.75" style="295" customWidth="1"/>
    <col min="10497" max="10497" width="2.5" style="295" customWidth="1"/>
    <col min="10498" max="10498" width="3" style="295" customWidth="1"/>
    <col min="10499" max="10500" width="2.25" style="295" customWidth="1"/>
    <col min="10501" max="10504" width="4.125" style="295" customWidth="1"/>
    <col min="10505" max="10505" width="1.25" style="295" customWidth="1"/>
    <col min="10506" max="10519" width="4.125" style="295" customWidth="1"/>
    <col min="10520" max="10520" width="2.625" style="295" customWidth="1"/>
    <col min="10521" max="10752" width="3.75" style="295" customWidth="1"/>
    <col min="10753" max="10753" width="2.5" style="295" customWidth="1"/>
    <col min="10754" max="10754" width="3" style="295" customWidth="1"/>
    <col min="10755" max="10756" width="2.25" style="295" customWidth="1"/>
    <col min="10757" max="10760" width="4.125" style="295" customWidth="1"/>
    <col min="10761" max="10761" width="1.25" style="295" customWidth="1"/>
    <col min="10762" max="10775" width="4.125" style="295" customWidth="1"/>
    <col min="10776" max="10776" width="2.625" style="295" customWidth="1"/>
    <col min="10777" max="11008" width="3.75" style="295" customWidth="1"/>
    <col min="11009" max="11009" width="2.5" style="295" customWidth="1"/>
    <col min="11010" max="11010" width="3" style="295" customWidth="1"/>
    <col min="11011" max="11012" width="2.25" style="295" customWidth="1"/>
    <col min="11013" max="11016" width="4.125" style="295" customWidth="1"/>
    <col min="11017" max="11017" width="1.25" style="295" customWidth="1"/>
    <col min="11018" max="11031" width="4.125" style="295" customWidth="1"/>
    <col min="11032" max="11032" width="2.625" style="295" customWidth="1"/>
    <col min="11033" max="11264" width="3.75" style="295" customWidth="1"/>
    <col min="11265" max="11265" width="2.5" style="295" customWidth="1"/>
    <col min="11266" max="11266" width="3" style="295" customWidth="1"/>
    <col min="11267" max="11268" width="2.25" style="295" customWidth="1"/>
    <col min="11269" max="11272" width="4.125" style="295" customWidth="1"/>
    <col min="11273" max="11273" width="1.25" style="295" customWidth="1"/>
    <col min="11274" max="11287" width="4.125" style="295" customWidth="1"/>
    <col min="11288" max="11288" width="2.625" style="295" customWidth="1"/>
    <col min="11289" max="11520" width="3.75" style="295" customWidth="1"/>
    <col min="11521" max="11521" width="2.5" style="295" customWidth="1"/>
    <col min="11522" max="11522" width="3" style="295" customWidth="1"/>
    <col min="11523" max="11524" width="2.25" style="295" customWidth="1"/>
    <col min="11525" max="11528" width="4.125" style="295" customWidth="1"/>
    <col min="11529" max="11529" width="1.25" style="295" customWidth="1"/>
    <col min="11530" max="11543" width="4.125" style="295" customWidth="1"/>
    <col min="11544" max="11544" width="2.625" style="295" customWidth="1"/>
    <col min="11545" max="11776" width="3.75" style="295" customWidth="1"/>
    <col min="11777" max="11777" width="2.5" style="295" customWidth="1"/>
    <col min="11778" max="11778" width="3" style="295" customWidth="1"/>
    <col min="11779" max="11780" width="2.25" style="295" customWidth="1"/>
    <col min="11781" max="11784" width="4.125" style="295" customWidth="1"/>
    <col min="11785" max="11785" width="1.25" style="295" customWidth="1"/>
    <col min="11786" max="11799" width="4.125" style="295" customWidth="1"/>
    <col min="11800" max="11800" width="2.625" style="295" customWidth="1"/>
    <col min="11801" max="12032" width="3.75" style="295" customWidth="1"/>
    <col min="12033" max="12033" width="2.5" style="295" customWidth="1"/>
    <col min="12034" max="12034" width="3" style="295" customWidth="1"/>
    <col min="12035" max="12036" width="2.25" style="295" customWidth="1"/>
    <col min="12037" max="12040" width="4.125" style="295" customWidth="1"/>
    <col min="12041" max="12041" width="1.25" style="295" customWidth="1"/>
    <col min="12042" max="12055" width="4.125" style="295" customWidth="1"/>
    <col min="12056" max="12056" width="2.625" style="295" customWidth="1"/>
    <col min="12057" max="12288" width="3.75" style="295" customWidth="1"/>
    <col min="12289" max="12289" width="2.5" style="295" customWidth="1"/>
    <col min="12290" max="12290" width="3" style="295" customWidth="1"/>
    <col min="12291" max="12292" width="2.25" style="295" customWidth="1"/>
    <col min="12293" max="12296" width="4.125" style="295" customWidth="1"/>
    <col min="12297" max="12297" width="1.25" style="295" customWidth="1"/>
    <col min="12298" max="12311" width="4.125" style="295" customWidth="1"/>
    <col min="12312" max="12312" width="2.625" style="295" customWidth="1"/>
    <col min="12313" max="12544" width="3.75" style="295" customWidth="1"/>
    <col min="12545" max="12545" width="2.5" style="295" customWidth="1"/>
    <col min="12546" max="12546" width="3" style="295" customWidth="1"/>
    <col min="12547" max="12548" width="2.25" style="295" customWidth="1"/>
    <col min="12549" max="12552" width="4.125" style="295" customWidth="1"/>
    <col min="12553" max="12553" width="1.25" style="295" customWidth="1"/>
    <col min="12554" max="12567" width="4.125" style="295" customWidth="1"/>
    <col min="12568" max="12568" width="2.625" style="295" customWidth="1"/>
    <col min="12569" max="12800" width="3.75" style="295" customWidth="1"/>
    <col min="12801" max="12801" width="2.5" style="295" customWidth="1"/>
    <col min="12802" max="12802" width="3" style="295" customWidth="1"/>
    <col min="12803" max="12804" width="2.25" style="295" customWidth="1"/>
    <col min="12805" max="12808" width="4.125" style="295" customWidth="1"/>
    <col min="12809" max="12809" width="1.25" style="295" customWidth="1"/>
    <col min="12810" max="12823" width="4.125" style="295" customWidth="1"/>
    <col min="12824" max="12824" width="2.625" style="295" customWidth="1"/>
    <col min="12825" max="13056" width="3.75" style="295" customWidth="1"/>
    <col min="13057" max="13057" width="2.5" style="295" customWidth="1"/>
    <col min="13058" max="13058" width="3" style="295" customWidth="1"/>
    <col min="13059" max="13060" width="2.25" style="295" customWidth="1"/>
    <col min="13061" max="13064" width="4.125" style="295" customWidth="1"/>
    <col min="13065" max="13065" width="1.25" style="295" customWidth="1"/>
    <col min="13066" max="13079" width="4.125" style="295" customWidth="1"/>
    <col min="13080" max="13080" width="2.625" style="295" customWidth="1"/>
    <col min="13081" max="13312" width="3.75" style="295" customWidth="1"/>
    <col min="13313" max="13313" width="2.5" style="295" customWidth="1"/>
    <col min="13314" max="13314" width="3" style="295" customWidth="1"/>
    <col min="13315" max="13316" width="2.25" style="295" customWidth="1"/>
    <col min="13317" max="13320" width="4.125" style="295" customWidth="1"/>
    <col min="13321" max="13321" width="1.25" style="295" customWidth="1"/>
    <col min="13322" max="13335" width="4.125" style="295" customWidth="1"/>
    <col min="13336" max="13336" width="2.625" style="295" customWidth="1"/>
    <col min="13337" max="13568" width="3.75" style="295" customWidth="1"/>
    <col min="13569" max="13569" width="2.5" style="295" customWidth="1"/>
    <col min="13570" max="13570" width="3" style="295" customWidth="1"/>
    <col min="13571" max="13572" width="2.25" style="295" customWidth="1"/>
    <col min="13573" max="13576" width="4.125" style="295" customWidth="1"/>
    <col min="13577" max="13577" width="1.25" style="295" customWidth="1"/>
    <col min="13578" max="13591" width="4.125" style="295" customWidth="1"/>
    <col min="13592" max="13592" width="2.625" style="295" customWidth="1"/>
    <col min="13593" max="13824" width="3.75" style="295" customWidth="1"/>
    <col min="13825" max="13825" width="2.5" style="295" customWidth="1"/>
    <col min="13826" max="13826" width="3" style="295" customWidth="1"/>
    <col min="13827" max="13828" width="2.25" style="295" customWidth="1"/>
    <col min="13829" max="13832" width="4.125" style="295" customWidth="1"/>
    <col min="13833" max="13833" width="1.25" style="295" customWidth="1"/>
    <col min="13834" max="13847" width="4.125" style="295" customWidth="1"/>
    <col min="13848" max="13848" width="2.625" style="295" customWidth="1"/>
    <col min="13849" max="14080" width="3.75" style="295" customWidth="1"/>
    <col min="14081" max="14081" width="2.5" style="295" customWidth="1"/>
    <col min="14082" max="14082" width="3" style="295" customWidth="1"/>
    <col min="14083" max="14084" width="2.25" style="295" customWidth="1"/>
    <col min="14085" max="14088" width="4.125" style="295" customWidth="1"/>
    <col min="14089" max="14089" width="1.25" style="295" customWidth="1"/>
    <col min="14090" max="14103" width="4.125" style="295" customWidth="1"/>
    <col min="14104" max="14104" width="2.625" style="295" customWidth="1"/>
    <col min="14105" max="14336" width="3.75" style="295" customWidth="1"/>
    <col min="14337" max="14337" width="2.5" style="295" customWidth="1"/>
    <col min="14338" max="14338" width="3" style="295" customWidth="1"/>
    <col min="14339" max="14340" width="2.25" style="295" customWidth="1"/>
    <col min="14341" max="14344" width="4.125" style="295" customWidth="1"/>
    <col min="14345" max="14345" width="1.25" style="295" customWidth="1"/>
    <col min="14346" max="14359" width="4.125" style="295" customWidth="1"/>
    <col min="14360" max="14360" width="2.625" style="295" customWidth="1"/>
    <col min="14361" max="14592" width="3.75" style="295" customWidth="1"/>
    <col min="14593" max="14593" width="2.5" style="295" customWidth="1"/>
    <col min="14594" max="14594" width="3" style="295" customWidth="1"/>
    <col min="14595" max="14596" width="2.25" style="295" customWidth="1"/>
    <col min="14597" max="14600" width="4.125" style="295" customWidth="1"/>
    <col min="14601" max="14601" width="1.25" style="295" customWidth="1"/>
    <col min="14602" max="14615" width="4.125" style="295" customWidth="1"/>
    <col min="14616" max="14616" width="2.625" style="295" customWidth="1"/>
    <col min="14617" max="14848" width="3.75" style="295" customWidth="1"/>
    <col min="14849" max="14849" width="2.5" style="295" customWidth="1"/>
    <col min="14850" max="14850" width="3" style="295" customWidth="1"/>
    <col min="14851" max="14852" width="2.25" style="295" customWidth="1"/>
    <col min="14853" max="14856" width="4.125" style="295" customWidth="1"/>
    <col min="14857" max="14857" width="1.25" style="295" customWidth="1"/>
    <col min="14858" max="14871" width="4.125" style="295" customWidth="1"/>
    <col min="14872" max="14872" width="2.625" style="295" customWidth="1"/>
    <col min="14873" max="15104" width="3.75" style="295" customWidth="1"/>
    <col min="15105" max="15105" width="2.5" style="295" customWidth="1"/>
    <col min="15106" max="15106" width="3" style="295" customWidth="1"/>
    <col min="15107" max="15108" width="2.25" style="295" customWidth="1"/>
    <col min="15109" max="15112" width="4.125" style="295" customWidth="1"/>
    <col min="15113" max="15113" width="1.25" style="295" customWidth="1"/>
    <col min="15114" max="15127" width="4.125" style="295" customWidth="1"/>
    <col min="15128" max="15128" width="2.625" style="295" customWidth="1"/>
    <col min="15129" max="15360" width="3.75" style="295" customWidth="1"/>
    <col min="15361" max="15361" width="2.5" style="295" customWidth="1"/>
    <col min="15362" max="15362" width="3" style="295" customWidth="1"/>
    <col min="15363" max="15364" width="2.25" style="295" customWidth="1"/>
    <col min="15365" max="15368" width="4.125" style="295" customWidth="1"/>
    <col min="15369" max="15369" width="1.25" style="295" customWidth="1"/>
    <col min="15370" max="15383" width="4.125" style="295" customWidth="1"/>
    <col min="15384" max="15384" width="2.625" style="295" customWidth="1"/>
    <col min="15385" max="15616" width="3.75" style="295" customWidth="1"/>
    <col min="15617" max="15617" width="2.5" style="295" customWidth="1"/>
    <col min="15618" max="15618" width="3" style="295" customWidth="1"/>
    <col min="15619" max="15620" width="2.25" style="295" customWidth="1"/>
    <col min="15621" max="15624" width="4.125" style="295" customWidth="1"/>
    <col min="15625" max="15625" width="1.25" style="295" customWidth="1"/>
    <col min="15626" max="15639" width="4.125" style="295" customWidth="1"/>
    <col min="15640" max="15640" width="2.625" style="295" customWidth="1"/>
    <col min="15641" max="15872" width="3.75" style="295" customWidth="1"/>
    <col min="15873" max="15873" width="2.5" style="295" customWidth="1"/>
    <col min="15874" max="15874" width="3" style="295" customWidth="1"/>
    <col min="15875" max="15876" width="2.25" style="295" customWidth="1"/>
    <col min="15877" max="15880" width="4.125" style="295" customWidth="1"/>
    <col min="15881" max="15881" width="1.25" style="295" customWidth="1"/>
    <col min="15882" max="15895" width="4.125" style="295" customWidth="1"/>
    <col min="15896" max="15896" width="2.625" style="295" customWidth="1"/>
    <col min="15897" max="16128" width="3.75" style="295" customWidth="1"/>
    <col min="16129" max="16129" width="2.5" style="295" customWidth="1"/>
    <col min="16130" max="16130" width="3" style="295" customWidth="1"/>
    <col min="16131" max="16132" width="2.25" style="295" customWidth="1"/>
    <col min="16133" max="16136" width="4.125" style="295" customWidth="1"/>
    <col min="16137" max="16137" width="1.25" style="295" customWidth="1"/>
    <col min="16138" max="16151" width="4.125" style="295" customWidth="1"/>
    <col min="16152" max="16152" width="2.625" style="295" customWidth="1"/>
    <col min="16153" max="16384" width="3.75" style="295" customWidth="1"/>
  </cols>
  <sheetData>
    <row r="1" spans="1:24" ht="17.25" customHeight="1">
      <c r="A1" s="298" t="s">
        <v>2833</v>
      </c>
    </row>
    <row r="2" spans="1:24" ht="17.25" customHeight="1">
      <c r="A2" s="813" t="s">
        <v>3043</v>
      </c>
      <c r="B2" s="813"/>
      <c r="C2" s="813"/>
      <c r="D2" s="813"/>
      <c r="E2" s="813"/>
      <c r="F2" s="813"/>
      <c r="G2" s="813"/>
      <c r="H2" s="813"/>
      <c r="I2" s="813"/>
      <c r="J2" s="813"/>
      <c r="K2" s="813"/>
      <c r="L2" s="813"/>
      <c r="M2" s="813"/>
      <c r="N2" s="813"/>
      <c r="O2" s="813"/>
      <c r="P2" s="813"/>
      <c r="Q2" s="813"/>
      <c r="R2" s="813"/>
      <c r="S2" s="813"/>
      <c r="T2" s="813"/>
      <c r="U2" s="813"/>
      <c r="V2" s="813"/>
      <c r="W2" s="813"/>
      <c r="X2" s="813"/>
    </row>
    <row r="3" spans="1:24" ht="19.5" customHeight="1"/>
    <row r="4" spans="1:24" ht="17.25" customHeight="1">
      <c r="Q4" s="451"/>
      <c r="R4" s="817"/>
      <c r="S4" s="817"/>
      <c r="T4" s="451" t="s">
        <v>464</v>
      </c>
      <c r="U4" s="464"/>
      <c r="V4" s="451" t="s">
        <v>1</v>
      </c>
      <c r="W4" s="464"/>
      <c r="X4" s="451" t="s">
        <v>465</v>
      </c>
    </row>
    <row r="5" spans="1:24" ht="20.25" customHeight="1"/>
    <row r="6" spans="1:24" ht="17.25" customHeight="1">
      <c r="C6" s="405" t="str">
        <f ca="1">cst_Pre_Corp__SHINSEI</f>
        <v>一般財団法人静岡県建築住宅まちづくりセンター</v>
      </c>
    </row>
    <row r="7" spans="1:24" ht="17.25" customHeight="1">
      <c r="C7" s="405" t="str">
        <f ca="1">cst_Pre_Daihyou__SHINSEI</f>
        <v>理事長 　柳　敏幸</v>
      </c>
      <c r="J7" s="295" t="s">
        <v>2796</v>
      </c>
    </row>
    <row r="8" spans="1:24" ht="9" customHeight="1"/>
    <row r="9" spans="1:24" ht="17.25" customHeight="1">
      <c r="P9" s="294" t="s">
        <v>3041</v>
      </c>
      <c r="Q9" s="785" t="str">
        <f>cst_wskakunin_owner1__address</f>
        <v>静岡県静岡市葵区新伝馬二丁目8-41-101</v>
      </c>
      <c r="R9" s="785"/>
      <c r="S9" s="785"/>
      <c r="T9" s="785"/>
      <c r="U9" s="785"/>
      <c r="V9" s="785"/>
      <c r="W9" s="785"/>
      <c r="X9" s="785"/>
    </row>
    <row r="10" spans="1:24" ht="17.25" customHeight="1">
      <c r="N10" s="295" t="s">
        <v>2832</v>
      </c>
      <c r="Q10" s="785"/>
      <c r="R10" s="785"/>
      <c r="S10" s="785"/>
      <c r="T10" s="785"/>
      <c r="U10" s="785"/>
      <c r="V10" s="785"/>
      <c r="W10" s="785"/>
      <c r="X10" s="785"/>
    </row>
    <row r="11" spans="1:24" ht="17.25" customHeight="1">
      <c r="P11" s="294" t="s">
        <v>3042</v>
      </c>
      <c r="Q11" s="785" t="str">
        <f>cst_wskakunin_owner1__space3</f>
        <v>菅野　幸子</v>
      </c>
      <c r="R11" s="785"/>
      <c r="S11" s="785"/>
      <c r="T11" s="785"/>
      <c r="U11" s="785"/>
      <c r="V11" s="785"/>
      <c r="W11" s="785"/>
      <c r="X11" s="785"/>
    </row>
    <row r="12" spans="1:24" ht="22.5" customHeight="1">
      <c r="Q12" s="785"/>
      <c r="R12" s="785"/>
      <c r="S12" s="785"/>
      <c r="T12" s="785"/>
      <c r="U12" s="785"/>
      <c r="V12" s="785"/>
      <c r="W12" s="785"/>
      <c r="X12" s="785"/>
    </row>
    <row r="13" spans="1:24" ht="17.25" customHeight="1">
      <c r="B13" s="818">
        <f>cst_shinsei_HIKIUKE_DATE</f>
        <v>45023</v>
      </c>
      <c r="C13" s="818"/>
      <c r="D13" s="451" t="s">
        <v>464</v>
      </c>
      <c r="E13" s="462">
        <f>cst_shinsei_HIKIUKE_DATE</f>
        <v>45023</v>
      </c>
      <c r="F13" s="451" t="s">
        <v>1</v>
      </c>
      <c r="G13" s="463">
        <f>cst_shinsei_HIKIUKE_DATE</f>
        <v>45023</v>
      </c>
      <c r="H13" s="451" t="s">
        <v>465</v>
      </c>
      <c r="I13" s="295" t="s">
        <v>3032</v>
      </c>
    </row>
    <row r="14" spans="1:24" ht="17.25" customHeight="1">
      <c r="B14" s="295" t="s">
        <v>3033</v>
      </c>
    </row>
    <row r="15" spans="1:24" ht="21.75" customHeight="1"/>
    <row r="16" spans="1:24" ht="39.75" customHeight="1">
      <c r="B16" s="299">
        <v>1</v>
      </c>
      <c r="C16" s="809" t="s">
        <v>2834</v>
      </c>
      <c r="D16" s="809"/>
      <c r="E16" s="809"/>
      <c r="F16" s="809"/>
      <c r="G16" s="809"/>
      <c r="H16" s="809"/>
      <c r="I16" s="300"/>
      <c r="J16" s="814" t="str">
        <f>cst_wskakunin_owner1__space</f>
        <v>菅野　幸子</v>
      </c>
      <c r="K16" s="815"/>
      <c r="L16" s="815"/>
      <c r="M16" s="815"/>
      <c r="N16" s="815"/>
      <c r="O16" s="815"/>
      <c r="P16" s="815"/>
      <c r="Q16" s="815"/>
      <c r="R16" s="815"/>
      <c r="S16" s="815"/>
      <c r="T16" s="815"/>
      <c r="U16" s="815"/>
      <c r="V16" s="815"/>
      <c r="W16" s="816"/>
    </row>
    <row r="17" spans="1:24" ht="39.75" customHeight="1">
      <c r="B17" s="301">
        <v>2</v>
      </c>
      <c r="C17" s="809" t="s">
        <v>2835</v>
      </c>
      <c r="D17" s="809"/>
      <c r="E17" s="809"/>
      <c r="F17" s="809"/>
      <c r="G17" s="809"/>
      <c r="H17" s="809"/>
      <c r="I17" s="302"/>
      <c r="J17" s="810" t="str">
        <f>IF(cst_shinsei_UKETUKE_NO="","第　　　　　　　号",cst_shinsei_UKETUKE_NO)</f>
        <v>第 2022確中建築静建住ま10505 号</v>
      </c>
      <c r="K17" s="811"/>
      <c r="L17" s="811"/>
      <c r="M17" s="811"/>
      <c r="N17" s="811"/>
      <c r="O17" s="811"/>
      <c r="P17" s="811"/>
      <c r="Q17" s="811"/>
      <c r="R17" s="811"/>
      <c r="S17" s="811"/>
      <c r="T17" s="811"/>
      <c r="U17" s="811"/>
      <c r="V17" s="811"/>
      <c r="W17" s="812"/>
    </row>
    <row r="18" spans="1:24" ht="39.75" customHeight="1">
      <c r="B18" s="301">
        <v>3</v>
      </c>
      <c r="C18" s="809" t="s">
        <v>2836</v>
      </c>
      <c r="D18" s="809"/>
      <c r="E18" s="809"/>
      <c r="F18" s="809"/>
      <c r="G18" s="809"/>
      <c r="H18" s="809"/>
      <c r="I18" s="302"/>
      <c r="J18" s="828">
        <f>cst_shinsei_HIKIUKE_DATE</f>
        <v>45023</v>
      </c>
      <c r="K18" s="829"/>
      <c r="L18" s="458" t="s">
        <v>464</v>
      </c>
      <c r="M18" s="460">
        <f>cst_shinsei_HIKIUKE_DATE</f>
        <v>45023</v>
      </c>
      <c r="N18" s="458" t="s">
        <v>1</v>
      </c>
      <c r="O18" s="461">
        <f>cst_shinsei_HIKIUKE_DATE</f>
        <v>45023</v>
      </c>
      <c r="P18" s="458" t="s">
        <v>465</v>
      </c>
      <c r="Q18" s="458"/>
      <c r="R18" s="458"/>
      <c r="S18" s="458"/>
      <c r="T18" s="458"/>
      <c r="U18" s="458"/>
      <c r="V18" s="458"/>
      <c r="W18" s="459"/>
    </row>
    <row r="19" spans="1:24" ht="39.75" customHeight="1">
      <c r="B19" s="301">
        <v>4</v>
      </c>
      <c r="C19" s="809" t="s">
        <v>2837</v>
      </c>
      <c r="D19" s="809"/>
      <c r="E19" s="809"/>
      <c r="F19" s="809"/>
      <c r="G19" s="809"/>
      <c r="H19" s="809"/>
      <c r="I19" s="302"/>
      <c r="J19" s="814" t="str">
        <f>cst_wskakunin_BUILD__address</f>
        <v>静岡県静岡市葵区平和二丁目215-8</v>
      </c>
      <c r="K19" s="815"/>
      <c r="L19" s="815"/>
      <c r="M19" s="815"/>
      <c r="N19" s="815"/>
      <c r="O19" s="815"/>
      <c r="P19" s="815"/>
      <c r="Q19" s="815"/>
      <c r="R19" s="815"/>
      <c r="S19" s="815"/>
      <c r="T19" s="815"/>
      <c r="U19" s="815"/>
      <c r="V19" s="815"/>
      <c r="W19" s="816"/>
    </row>
    <row r="20" spans="1:24" ht="91.5" customHeight="1" thickBot="1">
      <c r="B20" s="299">
        <v>5</v>
      </c>
      <c r="C20" s="824" t="s">
        <v>2838</v>
      </c>
      <c r="D20" s="824"/>
      <c r="E20" s="824"/>
      <c r="F20" s="824"/>
      <c r="G20" s="824"/>
      <c r="H20" s="824"/>
      <c r="I20" s="303"/>
      <c r="J20" s="825"/>
      <c r="K20" s="826"/>
      <c r="L20" s="826"/>
      <c r="M20" s="826"/>
      <c r="N20" s="826"/>
      <c r="O20" s="826"/>
      <c r="P20" s="826"/>
      <c r="Q20" s="826"/>
      <c r="R20" s="826"/>
      <c r="S20" s="826"/>
      <c r="T20" s="826"/>
      <c r="U20" s="826"/>
      <c r="V20" s="826"/>
      <c r="W20" s="827"/>
    </row>
    <row r="21" spans="1:24" ht="120" customHeight="1" thickTop="1">
      <c r="B21" s="819" t="s">
        <v>2839</v>
      </c>
      <c r="C21" s="820"/>
      <c r="D21" s="821"/>
      <c r="E21" s="822"/>
      <c r="F21" s="822"/>
      <c r="G21" s="822"/>
      <c r="H21" s="822"/>
      <c r="I21" s="822"/>
      <c r="J21" s="822"/>
      <c r="K21" s="822"/>
      <c r="L21" s="822"/>
      <c r="M21" s="823"/>
      <c r="N21" s="304" t="s">
        <v>2805</v>
      </c>
      <c r="O21" s="821"/>
      <c r="P21" s="822"/>
      <c r="Q21" s="822"/>
      <c r="R21" s="823"/>
      <c r="S21" s="304" t="s">
        <v>2806</v>
      </c>
      <c r="T21" s="821"/>
      <c r="U21" s="822"/>
      <c r="V21" s="822"/>
      <c r="W21" s="823"/>
    </row>
    <row r="22" spans="1:24" ht="19.5" customHeight="1"/>
    <row r="23" spans="1:24" ht="20.25" customHeight="1">
      <c r="A23" s="278" t="s">
        <v>484</v>
      </c>
      <c r="B23" s="278"/>
      <c r="C23" s="808" t="s">
        <v>3186</v>
      </c>
      <c r="D23" s="808"/>
      <c r="E23" s="808"/>
      <c r="F23" s="808"/>
      <c r="G23" s="808"/>
      <c r="H23" s="808"/>
      <c r="I23" s="808"/>
      <c r="J23" s="808"/>
      <c r="K23" s="808"/>
      <c r="L23" s="808"/>
      <c r="M23" s="808"/>
      <c r="N23" s="808"/>
      <c r="O23" s="808"/>
      <c r="P23" s="808"/>
      <c r="Q23" s="808"/>
      <c r="R23" s="808"/>
      <c r="S23" s="808"/>
      <c r="T23" s="808"/>
      <c r="U23" s="808"/>
      <c r="V23" s="808"/>
      <c r="W23" s="808"/>
      <c r="X23" s="808"/>
    </row>
    <row r="24" spans="1:24" ht="20.25" customHeight="1">
      <c r="A24" s="278"/>
      <c r="B24" s="278"/>
      <c r="C24" s="808" t="s">
        <v>3188</v>
      </c>
      <c r="D24" s="808"/>
      <c r="E24" s="808"/>
      <c r="F24" s="808"/>
      <c r="G24" s="808"/>
      <c r="H24" s="808"/>
      <c r="I24" s="808"/>
      <c r="J24" s="808"/>
      <c r="K24" s="808"/>
      <c r="L24" s="808"/>
      <c r="M24" s="808"/>
      <c r="N24" s="808"/>
      <c r="O24" s="808"/>
      <c r="P24" s="808"/>
      <c r="Q24" s="808"/>
      <c r="R24" s="808"/>
      <c r="S24" s="808"/>
      <c r="T24" s="808"/>
      <c r="U24" s="808"/>
      <c r="V24" s="808"/>
      <c r="W24" s="808"/>
      <c r="X24" s="808"/>
    </row>
    <row r="25" spans="1:24" ht="20.25" customHeight="1">
      <c r="A25" s="278"/>
      <c r="B25" s="278"/>
      <c r="C25" s="278" t="s">
        <v>3187</v>
      </c>
      <c r="D25" s="278"/>
      <c r="E25" s="278"/>
    </row>
    <row r="26" spans="1:24" ht="20.25" customHeight="1"/>
  </sheetData>
  <mergeCells count="21">
    <mergeCell ref="C19:H19"/>
    <mergeCell ref="J19:W19"/>
    <mergeCell ref="C20:H20"/>
    <mergeCell ref="J20:W20"/>
    <mergeCell ref="J18:K18"/>
    <mergeCell ref="C23:X23"/>
    <mergeCell ref="C24:X24"/>
    <mergeCell ref="C17:H17"/>
    <mergeCell ref="J17:W17"/>
    <mergeCell ref="A2:X2"/>
    <mergeCell ref="C16:H16"/>
    <mergeCell ref="J16:W16"/>
    <mergeCell ref="Q9:X10"/>
    <mergeCell ref="Q11:X12"/>
    <mergeCell ref="R4:S4"/>
    <mergeCell ref="B13:C13"/>
    <mergeCell ref="B21:C21"/>
    <mergeCell ref="D21:M21"/>
    <mergeCell ref="O21:R21"/>
    <mergeCell ref="T21:W21"/>
    <mergeCell ref="C18:H18"/>
  </mergeCells>
  <phoneticPr fontId="57"/>
  <printOptions horizontalCentered="1"/>
  <pageMargins left="0.39370078740157483" right="0.39370078740157483" top="0.6692913385826772"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zoomScale="75" zoomScaleNormal="75" zoomScaleSheetLayoutView="70" workbookViewId="0"/>
  </sheetViews>
  <sheetFormatPr defaultColWidth="3.75" defaultRowHeight="17.25" customHeight="1"/>
  <cols>
    <col min="1" max="1" width="2.5" style="295" customWidth="1"/>
    <col min="2" max="2" width="3" style="295" customWidth="1"/>
    <col min="3" max="4" width="2.25" style="295" customWidth="1"/>
    <col min="5" max="8" width="4.125" style="295" customWidth="1"/>
    <col min="9" max="9" width="1.25" style="295" customWidth="1"/>
    <col min="10" max="23" width="4.125" style="295" customWidth="1"/>
    <col min="24" max="24" width="2.625" style="295" customWidth="1"/>
    <col min="25" max="256" width="3.75" style="295" customWidth="1"/>
    <col min="257" max="257" width="2.5" style="295" customWidth="1"/>
    <col min="258" max="258" width="3" style="295" customWidth="1"/>
    <col min="259" max="260" width="2.25" style="295" customWidth="1"/>
    <col min="261" max="264" width="4.125" style="295" customWidth="1"/>
    <col min="265" max="265" width="1.25" style="295" customWidth="1"/>
    <col min="266" max="279" width="4.125" style="295" customWidth="1"/>
    <col min="280" max="280" width="2.625" style="295" customWidth="1"/>
    <col min="281" max="512" width="3.75" style="295" customWidth="1"/>
    <col min="513" max="513" width="2.5" style="295" customWidth="1"/>
    <col min="514" max="514" width="3" style="295" customWidth="1"/>
    <col min="515" max="516" width="2.25" style="295" customWidth="1"/>
    <col min="517" max="520" width="4.125" style="295" customWidth="1"/>
    <col min="521" max="521" width="1.25" style="295" customWidth="1"/>
    <col min="522" max="535" width="4.125" style="295" customWidth="1"/>
    <col min="536" max="536" width="2.625" style="295" customWidth="1"/>
    <col min="537" max="768" width="3.75" style="295" customWidth="1"/>
    <col min="769" max="769" width="2.5" style="295" customWidth="1"/>
    <col min="770" max="770" width="3" style="295" customWidth="1"/>
    <col min="771" max="772" width="2.25" style="295" customWidth="1"/>
    <col min="773" max="776" width="4.125" style="295" customWidth="1"/>
    <col min="777" max="777" width="1.25" style="295" customWidth="1"/>
    <col min="778" max="791" width="4.125" style="295" customWidth="1"/>
    <col min="792" max="792" width="2.625" style="295" customWidth="1"/>
    <col min="793" max="1024" width="3.75" style="295" customWidth="1"/>
    <col min="1025" max="1025" width="2.5" style="295" customWidth="1"/>
    <col min="1026" max="1026" width="3" style="295" customWidth="1"/>
    <col min="1027" max="1028" width="2.25" style="295" customWidth="1"/>
    <col min="1029" max="1032" width="4.125" style="295" customWidth="1"/>
    <col min="1033" max="1033" width="1.25" style="295" customWidth="1"/>
    <col min="1034" max="1047" width="4.125" style="295" customWidth="1"/>
    <col min="1048" max="1048" width="2.625" style="295" customWidth="1"/>
    <col min="1049" max="1280" width="3.75" style="295" customWidth="1"/>
    <col min="1281" max="1281" width="2.5" style="295" customWidth="1"/>
    <col min="1282" max="1282" width="3" style="295" customWidth="1"/>
    <col min="1283" max="1284" width="2.25" style="295" customWidth="1"/>
    <col min="1285" max="1288" width="4.125" style="295" customWidth="1"/>
    <col min="1289" max="1289" width="1.25" style="295" customWidth="1"/>
    <col min="1290" max="1303" width="4.125" style="295" customWidth="1"/>
    <col min="1304" max="1304" width="2.625" style="295" customWidth="1"/>
    <col min="1305" max="1536" width="3.75" style="295" customWidth="1"/>
    <col min="1537" max="1537" width="2.5" style="295" customWidth="1"/>
    <col min="1538" max="1538" width="3" style="295" customWidth="1"/>
    <col min="1539" max="1540" width="2.25" style="295" customWidth="1"/>
    <col min="1541" max="1544" width="4.125" style="295" customWidth="1"/>
    <col min="1545" max="1545" width="1.25" style="295" customWidth="1"/>
    <col min="1546" max="1559" width="4.125" style="295" customWidth="1"/>
    <col min="1560" max="1560" width="2.625" style="295" customWidth="1"/>
    <col min="1561" max="1792" width="3.75" style="295" customWidth="1"/>
    <col min="1793" max="1793" width="2.5" style="295" customWidth="1"/>
    <col min="1794" max="1794" width="3" style="295" customWidth="1"/>
    <col min="1795" max="1796" width="2.25" style="295" customWidth="1"/>
    <col min="1797" max="1800" width="4.125" style="295" customWidth="1"/>
    <col min="1801" max="1801" width="1.25" style="295" customWidth="1"/>
    <col min="1802" max="1815" width="4.125" style="295" customWidth="1"/>
    <col min="1816" max="1816" width="2.625" style="295" customWidth="1"/>
    <col min="1817" max="2048" width="3.75" style="295" customWidth="1"/>
    <col min="2049" max="2049" width="2.5" style="295" customWidth="1"/>
    <col min="2050" max="2050" width="3" style="295" customWidth="1"/>
    <col min="2051" max="2052" width="2.25" style="295" customWidth="1"/>
    <col min="2053" max="2056" width="4.125" style="295" customWidth="1"/>
    <col min="2057" max="2057" width="1.25" style="295" customWidth="1"/>
    <col min="2058" max="2071" width="4.125" style="295" customWidth="1"/>
    <col min="2072" max="2072" width="2.625" style="295" customWidth="1"/>
    <col min="2073" max="2304" width="3.75" style="295" customWidth="1"/>
    <col min="2305" max="2305" width="2.5" style="295" customWidth="1"/>
    <col min="2306" max="2306" width="3" style="295" customWidth="1"/>
    <col min="2307" max="2308" width="2.25" style="295" customWidth="1"/>
    <col min="2309" max="2312" width="4.125" style="295" customWidth="1"/>
    <col min="2313" max="2313" width="1.25" style="295" customWidth="1"/>
    <col min="2314" max="2327" width="4.125" style="295" customWidth="1"/>
    <col min="2328" max="2328" width="2.625" style="295" customWidth="1"/>
    <col min="2329" max="2560" width="3.75" style="295" customWidth="1"/>
    <col min="2561" max="2561" width="2.5" style="295" customWidth="1"/>
    <col min="2562" max="2562" width="3" style="295" customWidth="1"/>
    <col min="2563" max="2564" width="2.25" style="295" customWidth="1"/>
    <col min="2565" max="2568" width="4.125" style="295" customWidth="1"/>
    <col min="2569" max="2569" width="1.25" style="295" customWidth="1"/>
    <col min="2570" max="2583" width="4.125" style="295" customWidth="1"/>
    <col min="2584" max="2584" width="2.625" style="295" customWidth="1"/>
    <col min="2585" max="2816" width="3.75" style="295" customWidth="1"/>
    <col min="2817" max="2817" width="2.5" style="295" customWidth="1"/>
    <col min="2818" max="2818" width="3" style="295" customWidth="1"/>
    <col min="2819" max="2820" width="2.25" style="295" customWidth="1"/>
    <col min="2821" max="2824" width="4.125" style="295" customWidth="1"/>
    <col min="2825" max="2825" width="1.25" style="295" customWidth="1"/>
    <col min="2826" max="2839" width="4.125" style="295" customWidth="1"/>
    <col min="2840" max="2840" width="2.625" style="295" customWidth="1"/>
    <col min="2841" max="3072" width="3.75" style="295" customWidth="1"/>
    <col min="3073" max="3073" width="2.5" style="295" customWidth="1"/>
    <col min="3074" max="3074" width="3" style="295" customWidth="1"/>
    <col min="3075" max="3076" width="2.25" style="295" customWidth="1"/>
    <col min="3077" max="3080" width="4.125" style="295" customWidth="1"/>
    <col min="3081" max="3081" width="1.25" style="295" customWidth="1"/>
    <col min="3082" max="3095" width="4.125" style="295" customWidth="1"/>
    <col min="3096" max="3096" width="2.625" style="295" customWidth="1"/>
    <col min="3097" max="3328" width="3.75" style="295" customWidth="1"/>
    <col min="3329" max="3329" width="2.5" style="295" customWidth="1"/>
    <col min="3330" max="3330" width="3" style="295" customWidth="1"/>
    <col min="3331" max="3332" width="2.25" style="295" customWidth="1"/>
    <col min="3333" max="3336" width="4.125" style="295" customWidth="1"/>
    <col min="3337" max="3337" width="1.25" style="295" customWidth="1"/>
    <col min="3338" max="3351" width="4.125" style="295" customWidth="1"/>
    <col min="3352" max="3352" width="2.625" style="295" customWidth="1"/>
    <col min="3353" max="3584" width="3.75" style="295" customWidth="1"/>
    <col min="3585" max="3585" width="2.5" style="295" customWidth="1"/>
    <col min="3586" max="3586" width="3" style="295" customWidth="1"/>
    <col min="3587" max="3588" width="2.25" style="295" customWidth="1"/>
    <col min="3589" max="3592" width="4.125" style="295" customWidth="1"/>
    <col min="3593" max="3593" width="1.25" style="295" customWidth="1"/>
    <col min="3594" max="3607" width="4.125" style="295" customWidth="1"/>
    <col min="3608" max="3608" width="2.625" style="295" customWidth="1"/>
    <col min="3609" max="3840" width="3.75" style="295" customWidth="1"/>
    <col min="3841" max="3841" width="2.5" style="295" customWidth="1"/>
    <col min="3842" max="3842" width="3" style="295" customWidth="1"/>
    <col min="3843" max="3844" width="2.25" style="295" customWidth="1"/>
    <col min="3845" max="3848" width="4.125" style="295" customWidth="1"/>
    <col min="3849" max="3849" width="1.25" style="295" customWidth="1"/>
    <col min="3850" max="3863" width="4.125" style="295" customWidth="1"/>
    <col min="3864" max="3864" width="2.625" style="295" customWidth="1"/>
    <col min="3865" max="4096" width="3.75" style="295" customWidth="1"/>
    <col min="4097" max="4097" width="2.5" style="295" customWidth="1"/>
    <col min="4098" max="4098" width="3" style="295" customWidth="1"/>
    <col min="4099" max="4100" width="2.25" style="295" customWidth="1"/>
    <col min="4101" max="4104" width="4.125" style="295" customWidth="1"/>
    <col min="4105" max="4105" width="1.25" style="295" customWidth="1"/>
    <col min="4106" max="4119" width="4.125" style="295" customWidth="1"/>
    <col min="4120" max="4120" width="2.625" style="295" customWidth="1"/>
    <col min="4121" max="4352" width="3.75" style="295" customWidth="1"/>
    <col min="4353" max="4353" width="2.5" style="295" customWidth="1"/>
    <col min="4354" max="4354" width="3" style="295" customWidth="1"/>
    <col min="4355" max="4356" width="2.25" style="295" customWidth="1"/>
    <col min="4357" max="4360" width="4.125" style="295" customWidth="1"/>
    <col min="4361" max="4361" width="1.25" style="295" customWidth="1"/>
    <col min="4362" max="4375" width="4.125" style="295" customWidth="1"/>
    <col min="4376" max="4376" width="2.625" style="295" customWidth="1"/>
    <col min="4377" max="4608" width="3.75" style="295" customWidth="1"/>
    <col min="4609" max="4609" width="2.5" style="295" customWidth="1"/>
    <col min="4610" max="4610" width="3" style="295" customWidth="1"/>
    <col min="4611" max="4612" width="2.25" style="295" customWidth="1"/>
    <col min="4613" max="4616" width="4.125" style="295" customWidth="1"/>
    <col min="4617" max="4617" width="1.25" style="295" customWidth="1"/>
    <col min="4618" max="4631" width="4.125" style="295" customWidth="1"/>
    <col min="4632" max="4632" width="2.625" style="295" customWidth="1"/>
    <col min="4633" max="4864" width="3.75" style="295" customWidth="1"/>
    <col min="4865" max="4865" width="2.5" style="295" customWidth="1"/>
    <col min="4866" max="4866" width="3" style="295" customWidth="1"/>
    <col min="4867" max="4868" width="2.25" style="295" customWidth="1"/>
    <col min="4869" max="4872" width="4.125" style="295" customWidth="1"/>
    <col min="4873" max="4873" width="1.25" style="295" customWidth="1"/>
    <col min="4874" max="4887" width="4.125" style="295" customWidth="1"/>
    <col min="4888" max="4888" width="2.625" style="295" customWidth="1"/>
    <col min="4889" max="5120" width="3.75" style="295" customWidth="1"/>
    <col min="5121" max="5121" width="2.5" style="295" customWidth="1"/>
    <col min="5122" max="5122" width="3" style="295" customWidth="1"/>
    <col min="5123" max="5124" width="2.25" style="295" customWidth="1"/>
    <col min="5125" max="5128" width="4.125" style="295" customWidth="1"/>
    <col min="5129" max="5129" width="1.25" style="295" customWidth="1"/>
    <col min="5130" max="5143" width="4.125" style="295" customWidth="1"/>
    <col min="5144" max="5144" width="2.625" style="295" customWidth="1"/>
    <col min="5145" max="5376" width="3.75" style="295" customWidth="1"/>
    <col min="5377" max="5377" width="2.5" style="295" customWidth="1"/>
    <col min="5378" max="5378" width="3" style="295" customWidth="1"/>
    <col min="5379" max="5380" width="2.25" style="295" customWidth="1"/>
    <col min="5381" max="5384" width="4.125" style="295" customWidth="1"/>
    <col min="5385" max="5385" width="1.25" style="295" customWidth="1"/>
    <col min="5386" max="5399" width="4.125" style="295" customWidth="1"/>
    <col min="5400" max="5400" width="2.625" style="295" customWidth="1"/>
    <col min="5401" max="5632" width="3.75" style="295" customWidth="1"/>
    <col min="5633" max="5633" width="2.5" style="295" customWidth="1"/>
    <col min="5634" max="5634" width="3" style="295" customWidth="1"/>
    <col min="5635" max="5636" width="2.25" style="295" customWidth="1"/>
    <col min="5637" max="5640" width="4.125" style="295" customWidth="1"/>
    <col min="5641" max="5641" width="1.25" style="295" customWidth="1"/>
    <col min="5642" max="5655" width="4.125" style="295" customWidth="1"/>
    <col min="5656" max="5656" width="2.625" style="295" customWidth="1"/>
    <col min="5657" max="5888" width="3.75" style="295" customWidth="1"/>
    <col min="5889" max="5889" width="2.5" style="295" customWidth="1"/>
    <col min="5890" max="5890" width="3" style="295" customWidth="1"/>
    <col min="5891" max="5892" width="2.25" style="295" customWidth="1"/>
    <col min="5893" max="5896" width="4.125" style="295" customWidth="1"/>
    <col min="5897" max="5897" width="1.25" style="295" customWidth="1"/>
    <col min="5898" max="5911" width="4.125" style="295" customWidth="1"/>
    <col min="5912" max="5912" width="2.625" style="295" customWidth="1"/>
    <col min="5913" max="6144" width="3.75" style="295" customWidth="1"/>
    <col min="6145" max="6145" width="2.5" style="295" customWidth="1"/>
    <col min="6146" max="6146" width="3" style="295" customWidth="1"/>
    <col min="6147" max="6148" width="2.25" style="295" customWidth="1"/>
    <col min="6149" max="6152" width="4.125" style="295" customWidth="1"/>
    <col min="6153" max="6153" width="1.25" style="295" customWidth="1"/>
    <col min="6154" max="6167" width="4.125" style="295" customWidth="1"/>
    <col min="6168" max="6168" width="2.625" style="295" customWidth="1"/>
    <col min="6169" max="6400" width="3.75" style="295" customWidth="1"/>
    <col min="6401" max="6401" width="2.5" style="295" customWidth="1"/>
    <col min="6402" max="6402" width="3" style="295" customWidth="1"/>
    <col min="6403" max="6404" width="2.25" style="295" customWidth="1"/>
    <col min="6405" max="6408" width="4.125" style="295" customWidth="1"/>
    <col min="6409" max="6409" width="1.25" style="295" customWidth="1"/>
    <col min="6410" max="6423" width="4.125" style="295" customWidth="1"/>
    <col min="6424" max="6424" width="2.625" style="295" customWidth="1"/>
    <col min="6425" max="6656" width="3.75" style="295" customWidth="1"/>
    <col min="6657" max="6657" width="2.5" style="295" customWidth="1"/>
    <col min="6658" max="6658" width="3" style="295" customWidth="1"/>
    <col min="6659" max="6660" width="2.25" style="295" customWidth="1"/>
    <col min="6661" max="6664" width="4.125" style="295" customWidth="1"/>
    <col min="6665" max="6665" width="1.25" style="295" customWidth="1"/>
    <col min="6666" max="6679" width="4.125" style="295" customWidth="1"/>
    <col min="6680" max="6680" width="2.625" style="295" customWidth="1"/>
    <col min="6681" max="6912" width="3.75" style="295" customWidth="1"/>
    <col min="6913" max="6913" width="2.5" style="295" customWidth="1"/>
    <col min="6914" max="6914" width="3" style="295" customWidth="1"/>
    <col min="6915" max="6916" width="2.25" style="295" customWidth="1"/>
    <col min="6917" max="6920" width="4.125" style="295" customWidth="1"/>
    <col min="6921" max="6921" width="1.25" style="295" customWidth="1"/>
    <col min="6922" max="6935" width="4.125" style="295" customWidth="1"/>
    <col min="6936" max="6936" width="2.625" style="295" customWidth="1"/>
    <col min="6937" max="7168" width="3.75" style="295" customWidth="1"/>
    <col min="7169" max="7169" width="2.5" style="295" customWidth="1"/>
    <col min="7170" max="7170" width="3" style="295" customWidth="1"/>
    <col min="7171" max="7172" width="2.25" style="295" customWidth="1"/>
    <col min="7173" max="7176" width="4.125" style="295" customWidth="1"/>
    <col min="7177" max="7177" width="1.25" style="295" customWidth="1"/>
    <col min="7178" max="7191" width="4.125" style="295" customWidth="1"/>
    <col min="7192" max="7192" width="2.625" style="295" customWidth="1"/>
    <col min="7193" max="7424" width="3.75" style="295" customWidth="1"/>
    <col min="7425" max="7425" width="2.5" style="295" customWidth="1"/>
    <col min="7426" max="7426" width="3" style="295" customWidth="1"/>
    <col min="7427" max="7428" width="2.25" style="295" customWidth="1"/>
    <col min="7429" max="7432" width="4.125" style="295" customWidth="1"/>
    <col min="7433" max="7433" width="1.25" style="295" customWidth="1"/>
    <col min="7434" max="7447" width="4.125" style="295" customWidth="1"/>
    <col min="7448" max="7448" width="2.625" style="295" customWidth="1"/>
    <col min="7449" max="7680" width="3.75" style="295" customWidth="1"/>
    <col min="7681" max="7681" width="2.5" style="295" customWidth="1"/>
    <col min="7682" max="7682" width="3" style="295" customWidth="1"/>
    <col min="7683" max="7684" width="2.25" style="295" customWidth="1"/>
    <col min="7685" max="7688" width="4.125" style="295" customWidth="1"/>
    <col min="7689" max="7689" width="1.25" style="295" customWidth="1"/>
    <col min="7690" max="7703" width="4.125" style="295" customWidth="1"/>
    <col min="7704" max="7704" width="2.625" style="295" customWidth="1"/>
    <col min="7705" max="7936" width="3.75" style="295" customWidth="1"/>
    <col min="7937" max="7937" width="2.5" style="295" customWidth="1"/>
    <col min="7938" max="7938" width="3" style="295" customWidth="1"/>
    <col min="7939" max="7940" width="2.25" style="295" customWidth="1"/>
    <col min="7941" max="7944" width="4.125" style="295" customWidth="1"/>
    <col min="7945" max="7945" width="1.25" style="295" customWidth="1"/>
    <col min="7946" max="7959" width="4.125" style="295" customWidth="1"/>
    <col min="7960" max="7960" width="2.625" style="295" customWidth="1"/>
    <col min="7961" max="8192" width="3.75" style="295" customWidth="1"/>
    <col min="8193" max="8193" width="2.5" style="295" customWidth="1"/>
    <col min="8194" max="8194" width="3" style="295" customWidth="1"/>
    <col min="8195" max="8196" width="2.25" style="295" customWidth="1"/>
    <col min="8197" max="8200" width="4.125" style="295" customWidth="1"/>
    <col min="8201" max="8201" width="1.25" style="295" customWidth="1"/>
    <col min="8202" max="8215" width="4.125" style="295" customWidth="1"/>
    <col min="8216" max="8216" width="2.625" style="295" customWidth="1"/>
    <col min="8217" max="8448" width="3.75" style="295" customWidth="1"/>
    <col min="8449" max="8449" width="2.5" style="295" customWidth="1"/>
    <col min="8450" max="8450" width="3" style="295" customWidth="1"/>
    <col min="8451" max="8452" width="2.25" style="295" customWidth="1"/>
    <col min="8453" max="8456" width="4.125" style="295" customWidth="1"/>
    <col min="8457" max="8457" width="1.25" style="295" customWidth="1"/>
    <col min="8458" max="8471" width="4.125" style="295" customWidth="1"/>
    <col min="8472" max="8472" width="2.625" style="295" customWidth="1"/>
    <col min="8473" max="8704" width="3.75" style="295" customWidth="1"/>
    <col min="8705" max="8705" width="2.5" style="295" customWidth="1"/>
    <col min="8706" max="8706" width="3" style="295" customWidth="1"/>
    <col min="8707" max="8708" width="2.25" style="295" customWidth="1"/>
    <col min="8709" max="8712" width="4.125" style="295" customWidth="1"/>
    <col min="8713" max="8713" width="1.25" style="295" customWidth="1"/>
    <col min="8714" max="8727" width="4.125" style="295" customWidth="1"/>
    <col min="8728" max="8728" width="2.625" style="295" customWidth="1"/>
    <col min="8729" max="8960" width="3.75" style="295" customWidth="1"/>
    <col min="8961" max="8961" width="2.5" style="295" customWidth="1"/>
    <col min="8962" max="8962" width="3" style="295" customWidth="1"/>
    <col min="8963" max="8964" width="2.25" style="295" customWidth="1"/>
    <col min="8965" max="8968" width="4.125" style="295" customWidth="1"/>
    <col min="8969" max="8969" width="1.25" style="295" customWidth="1"/>
    <col min="8970" max="8983" width="4.125" style="295" customWidth="1"/>
    <col min="8984" max="8984" width="2.625" style="295" customWidth="1"/>
    <col min="8985" max="9216" width="3.75" style="295" customWidth="1"/>
    <col min="9217" max="9217" width="2.5" style="295" customWidth="1"/>
    <col min="9218" max="9218" width="3" style="295" customWidth="1"/>
    <col min="9219" max="9220" width="2.25" style="295" customWidth="1"/>
    <col min="9221" max="9224" width="4.125" style="295" customWidth="1"/>
    <col min="9225" max="9225" width="1.25" style="295" customWidth="1"/>
    <col min="9226" max="9239" width="4.125" style="295" customWidth="1"/>
    <col min="9240" max="9240" width="2.625" style="295" customWidth="1"/>
    <col min="9241" max="9472" width="3.75" style="295" customWidth="1"/>
    <col min="9473" max="9473" width="2.5" style="295" customWidth="1"/>
    <col min="9474" max="9474" width="3" style="295" customWidth="1"/>
    <col min="9475" max="9476" width="2.25" style="295" customWidth="1"/>
    <col min="9477" max="9480" width="4.125" style="295" customWidth="1"/>
    <col min="9481" max="9481" width="1.25" style="295" customWidth="1"/>
    <col min="9482" max="9495" width="4.125" style="295" customWidth="1"/>
    <col min="9496" max="9496" width="2.625" style="295" customWidth="1"/>
    <col min="9497" max="9728" width="3.75" style="295" customWidth="1"/>
    <col min="9729" max="9729" width="2.5" style="295" customWidth="1"/>
    <col min="9730" max="9730" width="3" style="295" customWidth="1"/>
    <col min="9731" max="9732" width="2.25" style="295" customWidth="1"/>
    <col min="9733" max="9736" width="4.125" style="295" customWidth="1"/>
    <col min="9737" max="9737" width="1.25" style="295" customWidth="1"/>
    <col min="9738" max="9751" width="4.125" style="295" customWidth="1"/>
    <col min="9752" max="9752" width="2.625" style="295" customWidth="1"/>
    <col min="9753" max="9984" width="3.75" style="295" customWidth="1"/>
    <col min="9985" max="9985" width="2.5" style="295" customWidth="1"/>
    <col min="9986" max="9986" width="3" style="295" customWidth="1"/>
    <col min="9987" max="9988" width="2.25" style="295" customWidth="1"/>
    <col min="9989" max="9992" width="4.125" style="295" customWidth="1"/>
    <col min="9993" max="9993" width="1.25" style="295" customWidth="1"/>
    <col min="9994" max="10007" width="4.125" style="295" customWidth="1"/>
    <col min="10008" max="10008" width="2.625" style="295" customWidth="1"/>
    <col min="10009" max="10240" width="3.75" style="295" customWidth="1"/>
    <col min="10241" max="10241" width="2.5" style="295" customWidth="1"/>
    <col min="10242" max="10242" width="3" style="295" customWidth="1"/>
    <col min="10243" max="10244" width="2.25" style="295" customWidth="1"/>
    <col min="10245" max="10248" width="4.125" style="295" customWidth="1"/>
    <col min="10249" max="10249" width="1.25" style="295" customWidth="1"/>
    <col min="10250" max="10263" width="4.125" style="295" customWidth="1"/>
    <col min="10264" max="10264" width="2.625" style="295" customWidth="1"/>
    <col min="10265" max="10496" width="3.75" style="295" customWidth="1"/>
    <col min="10497" max="10497" width="2.5" style="295" customWidth="1"/>
    <col min="10498" max="10498" width="3" style="295" customWidth="1"/>
    <col min="10499" max="10500" width="2.25" style="295" customWidth="1"/>
    <col min="10501" max="10504" width="4.125" style="295" customWidth="1"/>
    <col min="10505" max="10505" width="1.25" style="295" customWidth="1"/>
    <col min="10506" max="10519" width="4.125" style="295" customWidth="1"/>
    <col min="10520" max="10520" width="2.625" style="295" customWidth="1"/>
    <col min="10521" max="10752" width="3.75" style="295" customWidth="1"/>
    <col min="10753" max="10753" width="2.5" style="295" customWidth="1"/>
    <col min="10754" max="10754" width="3" style="295" customWidth="1"/>
    <col min="10755" max="10756" width="2.25" style="295" customWidth="1"/>
    <col min="10757" max="10760" width="4.125" style="295" customWidth="1"/>
    <col min="10761" max="10761" width="1.25" style="295" customWidth="1"/>
    <col min="10762" max="10775" width="4.125" style="295" customWidth="1"/>
    <col min="10776" max="10776" width="2.625" style="295" customWidth="1"/>
    <col min="10777" max="11008" width="3.75" style="295" customWidth="1"/>
    <col min="11009" max="11009" width="2.5" style="295" customWidth="1"/>
    <col min="11010" max="11010" width="3" style="295" customWidth="1"/>
    <col min="11011" max="11012" width="2.25" style="295" customWidth="1"/>
    <col min="11013" max="11016" width="4.125" style="295" customWidth="1"/>
    <col min="11017" max="11017" width="1.25" style="295" customWidth="1"/>
    <col min="11018" max="11031" width="4.125" style="295" customWidth="1"/>
    <col min="11032" max="11032" width="2.625" style="295" customWidth="1"/>
    <col min="11033" max="11264" width="3.75" style="295" customWidth="1"/>
    <col min="11265" max="11265" width="2.5" style="295" customWidth="1"/>
    <col min="11266" max="11266" width="3" style="295" customWidth="1"/>
    <col min="11267" max="11268" width="2.25" style="295" customWidth="1"/>
    <col min="11269" max="11272" width="4.125" style="295" customWidth="1"/>
    <col min="11273" max="11273" width="1.25" style="295" customWidth="1"/>
    <col min="11274" max="11287" width="4.125" style="295" customWidth="1"/>
    <col min="11288" max="11288" width="2.625" style="295" customWidth="1"/>
    <col min="11289" max="11520" width="3.75" style="295" customWidth="1"/>
    <col min="11521" max="11521" width="2.5" style="295" customWidth="1"/>
    <col min="11522" max="11522" width="3" style="295" customWidth="1"/>
    <col min="11523" max="11524" width="2.25" style="295" customWidth="1"/>
    <col min="11525" max="11528" width="4.125" style="295" customWidth="1"/>
    <col min="11529" max="11529" width="1.25" style="295" customWidth="1"/>
    <col min="11530" max="11543" width="4.125" style="295" customWidth="1"/>
    <col min="11544" max="11544" width="2.625" style="295" customWidth="1"/>
    <col min="11545" max="11776" width="3.75" style="295" customWidth="1"/>
    <col min="11777" max="11777" width="2.5" style="295" customWidth="1"/>
    <col min="11778" max="11778" width="3" style="295" customWidth="1"/>
    <col min="11779" max="11780" width="2.25" style="295" customWidth="1"/>
    <col min="11781" max="11784" width="4.125" style="295" customWidth="1"/>
    <col min="11785" max="11785" width="1.25" style="295" customWidth="1"/>
    <col min="11786" max="11799" width="4.125" style="295" customWidth="1"/>
    <col min="11800" max="11800" width="2.625" style="295" customWidth="1"/>
    <col min="11801" max="12032" width="3.75" style="295" customWidth="1"/>
    <col min="12033" max="12033" width="2.5" style="295" customWidth="1"/>
    <col min="12034" max="12034" width="3" style="295" customWidth="1"/>
    <col min="12035" max="12036" width="2.25" style="295" customWidth="1"/>
    <col min="12037" max="12040" width="4.125" style="295" customWidth="1"/>
    <col min="12041" max="12041" width="1.25" style="295" customWidth="1"/>
    <col min="12042" max="12055" width="4.125" style="295" customWidth="1"/>
    <col min="12056" max="12056" width="2.625" style="295" customWidth="1"/>
    <col min="12057" max="12288" width="3.75" style="295" customWidth="1"/>
    <col min="12289" max="12289" width="2.5" style="295" customWidth="1"/>
    <col min="12290" max="12290" width="3" style="295" customWidth="1"/>
    <col min="12291" max="12292" width="2.25" style="295" customWidth="1"/>
    <col min="12293" max="12296" width="4.125" style="295" customWidth="1"/>
    <col min="12297" max="12297" width="1.25" style="295" customWidth="1"/>
    <col min="12298" max="12311" width="4.125" style="295" customWidth="1"/>
    <col min="12312" max="12312" width="2.625" style="295" customWidth="1"/>
    <col min="12313" max="12544" width="3.75" style="295" customWidth="1"/>
    <col min="12545" max="12545" width="2.5" style="295" customWidth="1"/>
    <col min="12546" max="12546" width="3" style="295" customWidth="1"/>
    <col min="12547" max="12548" width="2.25" style="295" customWidth="1"/>
    <col min="12549" max="12552" width="4.125" style="295" customWidth="1"/>
    <col min="12553" max="12553" width="1.25" style="295" customWidth="1"/>
    <col min="12554" max="12567" width="4.125" style="295" customWidth="1"/>
    <col min="12568" max="12568" width="2.625" style="295" customWidth="1"/>
    <col min="12569" max="12800" width="3.75" style="295" customWidth="1"/>
    <col min="12801" max="12801" width="2.5" style="295" customWidth="1"/>
    <col min="12802" max="12802" width="3" style="295" customWidth="1"/>
    <col min="12803" max="12804" width="2.25" style="295" customWidth="1"/>
    <col min="12805" max="12808" width="4.125" style="295" customWidth="1"/>
    <col min="12809" max="12809" width="1.25" style="295" customWidth="1"/>
    <col min="12810" max="12823" width="4.125" style="295" customWidth="1"/>
    <col min="12824" max="12824" width="2.625" style="295" customWidth="1"/>
    <col min="12825" max="13056" width="3.75" style="295" customWidth="1"/>
    <col min="13057" max="13057" width="2.5" style="295" customWidth="1"/>
    <col min="13058" max="13058" width="3" style="295" customWidth="1"/>
    <col min="13059" max="13060" width="2.25" style="295" customWidth="1"/>
    <col min="13061" max="13064" width="4.125" style="295" customWidth="1"/>
    <col min="13065" max="13065" width="1.25" style="295" customWidth="1"/>
    <col min="13066" max="13079" width="4.125" style="295" customWidth="1"/>
    <col min="13080" max="13080" width="2.625" style="295" customWidth="1"/>
    <col min="13081" max="13312" width="3.75" style="295" customWidth="1"/>
    <col min="13313" max="13313" width="2.5" style="295" customWidth="1"/>
    <col min="13314" max="13314" width="3" style="295" customWidth="1"/>
    <col min="13315" max="13316" width="2.25" style="295" customWidth="1"/>
    <col min="13317" max="13320" width="4.125" style="295" customWidth="1"/>
    <col min="13321" max="13321" width="1.25" style="295" customWidth="1"/>
    <col min="13322" max="13335" width="4.125" style="295" customWidth="1"/>
    <col min="13336" max="13336" width="2.625" style="295" customWidth="1"/>
    <col min="13337" max="13568" width="3.75" style="295" customWidth="1"/>
    <col min="13569" max="13569" width="2.5" style="295" customWidth="1"/>
    <col min="13570" max="13570" width="3" style="295" customWidth="1"/>
    <col min="13571" max="13572" width="2.25" style="295" customWidth="1"/>
    <col min="13573" max="13576" width="4.125" style="295" customWidth="1"/>
    <col min="13577" max="13577" width="1.25" style="295" customWidth="1"/>
    <col min="13578" max="13591" width="4.125" style="295" customWidth="1"/>
    <col min="13592" max="13592" width="2.625" style="295" customWidth="1"/>
    <col min="13593" max="13824" width="3.75" style="295" customWidth="1"/>
    <col min="13825" max="13825" width="2.5" style="295" customWidth="1"/>
    <col min="13826" max="13826" width="3" style="295" customWidth="1"/>
    <col min="13827" max="13828" width="2.25" style="295" customWidth="1"/>
    <col min="13829" max="13832" width="4.125" style="295" customWidth="1"/>
    <col min="13833" max="13833" width="1.25" style="295" customWidth="1"/>
    <col min="13834" max="13847" width="4.125" style="295" customWidth="1"/>
    <col min="13848" max="13848" width="2.625" style="295" customWidth="1"/>
    <col min="13849" max="14080" width="3.75" style="295" customWidth="1"/>
    <col min="14081" max="14081" width="2.5" style="295" customWidth="1"/>
    <col min="14082" max="14082" width="3" style="295" customWidth="1"/>
    <col min="14083" max="14084" width="2.25" style="295" customWidth="1"/>
    <col min="14085" max="14088" width="4.125" style="295" customWidth="1"/>
    <col min="14089" max="14089" width="1.25" style="295" customWidth="1"/>
    <col min="14090" max="14103" width="4.125" style="295" customWidth="1"/>
    <col min="14104" max="14104" width="2.625" style="295" customWidth="1"/>
    <col min="14105" max="14336" width="3.75" style="295" customWidth="1"/>
    <col min="14337" max="14337" width="2.5" style="295" customWidth="1"/>
    <col min="14338" max="14338" width="3" style="295" customWidth="1"/>
    <col min="14339" max="14340" width="2.25" style="295" customWidth="1"/>
    <col min="14341" max="14344" width="4.125" style="295" customWidth="1"/>
    <col min="14345" max="14345" width="1.25" style="295" customWidth="1"/>
    <col min="14346" max="14359" width="4.125" style="295" customWidth="1"/>
    <col min="14360" max="14360" width="2.625" style="295" customWidth="1"/>
    <col min="14361" max="14592" width="3.75" style="295" customWidth="1"/>
    <col min="14593" max="14593" width="2.5" style="295" customWidth="1"/>
    <col min="14594" max="14594" width="3" style="295" customWidth="1"/>
    <col min="14595" max="14596" width="2.25" style="295" customWidth="1"/>
    <col min="14597" max="14600" width="4.125" style="295" customWidth="1"/>
    <col min="14601" max="14601" width="1.25" style="295" customWidth="1"/>
    <col min="14602" max="14615" width="4.125" style="295" customWidth="1"/>
    <col min="14616" max="14616" width="2.625" style="295" customWidth="1"/>
    <col min="14617" max="14848" width="3.75" style="295" customWidth="1"/>
    <col min="14849" max="14849" width="2.5" style="295" customWidth="1"/>
    <col min="14850" max="14850" width="3" style="295" customWidth="1"/>
    <col min="14851" max="14852" width="2.25" style="295" customWidth="1"/>
    <col min="14853" max="14856" width="4.125" style="295" customWidth="1"/>
    <col min="14857" max="14857" width="1.25" style="295" customWidth="1"/>
    <col min="14858" max="14871" width="4.125" style="295" customWidth="1"/>
    <col min="14872" max="14872" width="2.625" style="295" customWidth="1"/>
    <col min="14873" max="15104" width="3.75" style="295" customWidth="1"/>
    <col min="15105" max="15105" width="2.5" style="295" customWidth="1"/>
    <col min="15106" max="15106" width="3" style="295" customWidth="1"/>
    <col min="15107" max="15108" width="2.25" style="295" customWidth="1"/>
    <col min="15109" max="15112" width="4.125" style="295" customWidth="1"/>
    <col min="15113" max="15113" width="1.25" style="295" customWidth="1"/>
    <col min="15114" max="15127" width="4.125" style="295" customWidth="1"/>
    <col min="15128" max="15128" width="2.625" style="295" customWidth="1"/>
    <col min="15129" max="15360" width="3.75" style="295" customWidth="1"/>
    <col min="15361" max="15361" width="2.5" style="295" customWidth="1"/>
    <col min="15362" max="15362" width="3" style="295" customWidth="1"/>
    <col min="15363" max="15364" width="2.25" style="295" customWidth="1"/>
    <col min="15365" max="15368" width="4.125" style="295" customWidth="1"/>
    <col min="15369" max="15369" width="1.25" style="295" customWidth="1"/>
    <col min="15370" max="15383" width="4.125" style="295" customWidth="1"/>
    <col min="15384" max="15384" width="2.625" style="295" customWidth="1"/>
    <col min="15385" max="15616" width="3.75" style="295" customWidth="1"/>
    <col min="15617" max="15617" width="2.5" style="295" customWidth="1"/>
    <col min="15618" max="15618" width="3" style="295" customWidth="1"/>
    <col min="15619" max="15620" width="2.25" style="295" customWidth="1"/>
    <col min="15621" max="15624" width="4.125" style="295" customWidth="1"/>
    <col min="15625" max="15625" width="1.25" style="295" customWidth="1"/>
    <col min="15626" max="15639" width="4.125" style="295" customWidth="1"/>
    <col min="15640" max="15640" width="2.625" style="295" customWidth="1"/>
    <col min="15641" max="15872" width="3.75" style="295" customWidth="1"/>
    <col min="15873" max="15873" width="2.5" style="295" customWidth="1"/>
    <col min="15874" max="15874" width="3" style="295" customWidth="1"/>
    <col min="15875" max="15876" width="2.25" style="295" customWidth="1"/>
    <col min="15877" max="15880" width="4.125" style="295" customWidth="1"/>
    <col min="15881" max="15881" width="1.25" style="295" customWidth="1"/>
    <col min="15882" max="15895" width="4.125" style="295" customWidth="1"/>
    <col min="15896" max="15896" width="2.625" style="295" customWidth="1"/>
    <col min="15897" max="16128" width="3.75" style="295" customWidth="1"/>
    <col min="16129" max="16129" width="2.5" style="295" customWidth="1"/>
    <col min="16130" max="16130" width="3" style="295" customWidth="1"/>
    <col min="16131" max="16132" width="2.25" style="295" customWidth="1"/>
    <col min="16133" max="16136" width="4.125" style="295" customWidth="1"/>
    <col min="16137" max="16137" width="1.25" style="295" customWidth="1"/>
    <col min="16138" max="16151" width="4.125" style="295" customWidth="1"/>
    <col min="16152" max="16152" width="2.625" style="295" customWidth="1"/>
    <col min="16153" max="16384" width="3.75" style="295" customWidth="1"/>
  </cols>
  <sheetData>
    <row r="1" spans="1:24" ht="17.25" customHeight="1">
      <c r="A1" s="298" t="s">
        <v>2840</v>
      </c>
    </row>
    <row r="2" spans="1:24" ht="17.25" customHeight="1">
      <c r="A2" s="813" t="s">
        <v>3044</v>
      </c>
      <c r="B2" s="813"/>
      <c r="C2" s="813"/>
      <c r="D2" s="813"/>
      <c r="E2" s="813"/>
      <c r="F2" s="813"/>
      <c r="G2" s="813"/>
      <c r="H2" s="813"/>
      <c r="I2" s="813"/>
      <c r="J2" s="813"/>
      <c r="K2" s="813"/>
      <c r="L2" s="813"/>
      <c r="M2" s="813"/>
      <c r="N2" s="813"/>
      <c r="O2" s="813"/>
      <c r="P2" s="813"/>
      <c r="Q2" s="813"/>
      <c r="R2" s="813"/>
      <c r="S2" s="813"/>
      <c r="T2" s="813"/>
      <c r="U2" s="813"/>
      <c r="V2" s="813"/>
      <c r="W2" s="813"/>
      <c r="X2" s="813"/>
    </row>
    <row r="3" spans="1:24" ht="19.5" customHeight="1"/>
    <row r="4" spans="1:24" ht="17.25" customHeight="1">
      <c r="Q4" s="451"/>
      <c r="R4" s="817"/>
      <c r="S4" s="817"/>
      <c r="T4" s="451" t="s">
        <v>464</v>
      </c>
      <c r="U4" s="464"/>
      <c r="V4" s="451" t="s">
        <v>1</v>
      </c>
      <c r="W4" s="464"/>
      <c r="X4" s="451" t="s">
        <v>465</v>
      </c>
    </row>
    <row r="5" spans="1:24" ht="20.25" customHeight="1"/>
    <row r="6" spans="1:24" ht="17.25" customHeight="1">
      <c r="C6" s="405" t="str">
        <f ca="1">cst_Pre_Corp__SHINSEI</f>
        <v>一般財団法人静岡県建築住宅まちづくりセンター</v>
      </c>
    </row>
    <row r="7" spans="1:24" ht="17.25" customHeight="1">
      <c r="C7" s="405" t="str">
        <f ca="1">cst_Pre_Daihyou__SHINSEI</f>
        <v>理事長 　柳　敏幸</v>
      </c>
      <c r="J7" s="295" t="s">
        <v>2796</v>
      </c>
    </row>
    <row r="8" spans="1:24" ht="9" customHeight="1"/>
    <row r="9" spans="1:24" ht="17.25" customHeight="1">
      <c r="P9" s="294" t="s">
        <v>3041</v>
      </c>
      <c r="Q9" s="785" t="str">
        <f>cst_wskakunin_owner1__address</f>
        <v>静岡県静岡市葵区新伝馬二丁目8-41-101</v>
      </c>
      <c r="R9" s="785"/>
      <c r="S9" s="785"/>
      <c r="T9" s="785"/>
      <c r="U9" s="785"/>
      <c r="V9" s="785"/>
      <c r="W9" s="785"/>
      <c r="X9" s="785"/>
    </row>
    <row r="10" spans="1:24" ht="17.25" customHeight="1">
      <c r="N10" s="295" t="s">
        <v>2832</v>
      </c>
      <c r="Q10" s="785"/>
      <c r="R10" s="785"/>
      <c r="S10" s="785"/>
      <c r="T10" s="785"/>
      <c r="U10" s="785"/>
      <c r="V10" s="785"/>
      <c r="W10" s="785"/>
      <c r="X10" s="785"/>
    </row>
    <row r="11" spans="1:24" ht="17.25" customHeight="1">
      <c r="P11" s="294" t="s">
        <v>3042</v>
      </c>
      <c r="Q11" s="785" t="str">
        <f>cst_wskakunin_owner1__space3</f>
        <v>菅野　幸子</v>
      </c>
      <c r="R11" s="785"/>
      <c r="S11" s="785"/>
      <c r="T11" s="785"/>
      <c r="U11" s="785"/>
      <c r="V11" s="785"/>
      <c r="W11" s="785"/>
      <c r="X11" s="785"/>
    </row>
    <row r="12" spans="1:24" ht="22.5" customHeight="1">
      <c r="Q12" s="785"/>
      <c r="R12" s="785"/>
      <c r="S12" s="785"/>
      <c r="T12" s="785"/>
      <c r="U12" s="785"/>
      <c r="V12" s="785"/>
      <c r="W12" s="785"/>
      <c r="X12" s="785"/>
    </row>
    <row r="13" spans="1:24" ht="17.25" customHeight="1">
      <c r="B13" s="831">
        <f>cst_shinsei_HIKIUKE_DATE</f>
        <v>45023</v>
      </c>
      <c r="C13" s="831"/>
      <c r="D13" s="451" t="s">
        <v>464</v>
      </c>
      <c r="E13" s="462">
        <f>cst_shinsei_HIKIUKE_DATE</f>
        <v>45023</v>
      </c>
      <c r="F13" s="451" t="s">
        <v>1</v>
      </c>
      <c r="G13" s="463">
        <f>cst_shinsei_HIKIUKE_DATE</f>
        <v>45023</v>
      </c>
      <c r="H13" s="451" t="s">
        <v>465</v>
      </c>
      <c r="I13" s="451"/>
      <c r="J13" s="295" t="s">
        <v>3034</v>
      </c>
    </row>
    <row r="14" spans="1:24" ht="17.25" customHeight="1">
      <c r="B14" s="295" t="s">
        <v>3035</v>
      </c>
    </row>
    <row r="15" spans="1:24" ht="21.75" customHeight="1"/>
    <row r="16" spans="1:24" ht="39.75" customHeight="1">
      <c r="B16" s="299">
        <v>1</v>
      </c>
      <c r="C16" s="809" t="s">
        <v>2834</v>
      </c>
      <c r="D16" s="809"/>
      <c r="E16" s="809"/>
      <c r="F16" s="809"/>
      <c r="G16" s="809"/>
      <c r="H16" s="809"/>
      <c r="I16" s="300"/>
      <c r="J16" s="814" t="str">
        <f>cst_wskakunin_owner1__space</f>
        <v>菅野　幸子</v>
      </c>
      <c r="K16" s="815"/>
      <c r="L16" s="815"/>
      <c r="M16" s="815"/>
      <c r="N16" s="815"/>
      <c r="O16" s="815"/>
      <c r="P16" s="815"/>
      <c r="Q16" s="815"/>
      <c r="R16" s="815"/>
      <c r="S16" s="815"/>
      <c r="T16" s="815"/>
      <c r="U16" s="815"/>
      <c r="V16" s="815"/>
      <c r="W16" s="816"/>
    </row>
    <row r="17" spans="1:24" ht="39.75" customHeight="1">
      <c r="B17" s="301">
        <v>2</v>
      </c>
      <c r="C17" s="809" t="s">
        <v>20</v>
      </c>
      <c r="D17" s="809"/>
      <c r="E17" s="809"/>
      <c r="F17" s="809"/>
      <c r="G17" s="809"/>
      <c r="H17" s="809"/>
      <c r="I17" s="302"/>
      <c r="J17" s="810" t="str">
        <f ca="1">IF(cst_ISSUE_NO_select="","第　　　　　　　号",IF(COUNTIF(cst_ISSUE_NO_select,"*第*")&gt;0,"","第")&amp;cst_ISSUE_NO_select&amp;IF(COUNTIF(cst_ISSUE_NO_select,"*号*")&gt;0,"","号"))</f>
        <v>第 2022確認建築静建住ま10505 号</v>
      </c>
      <c r="K17" s="811"/>
      <c r="L17" s="811"/>
      <c r="M17" s="811"/>
      <c r="N17" s="811"/>
      <c r="O17" s="811"/>
      <c r="P17" s="811"/>
      <c r="Q17" s="811"/>
      <c r="R17" s="811"/>
      <c r="S17" s="811"/>
      <c r="T17" s="811"/>
      <c r="U17" s="811"/>
      <c r="V17" s="811"/>
      <c r="W17" s="812"/>
    </row>
    <row r="18" spans="1:24" ht="39.75" customHeight="1">
      <c r="B18" s="301">
        <v>3</v>
      </c>
      <c r="C18" s="809" t="s">
        <v>21</v>
      </c>
      <c r="D18" s="809"/>
      <c r="E18" s="809"/>
      <c r="F18" s="809"/>
      <c r="G18" s="809"/>
      <c r="H18" s="809"/>
      <c r="I18" s="302"/>
      <c r="J18" s="828">
        <f ca="1">cst_ISSUE_DATE_select</f>
        <v>44958</v>
      </c>
      <c r="K18" s="829"/>
      <c r="L18" s="458" t="s">
        <v>464</v>
      </c>
      <c r="M18" s="460">
        <f ca="1">cst_ISSUE_DATE_select</f>
        <v>44958</v>
      </c>
      <c r="N18" s="458" t="s">
        <v>1</v>
      </c>
      <c r="O18" s="461">
        <f ca="1">cst_ISSUE_DATE_select</f>
        <v>44958</v>
      </c>
      <c r="P18" s="458" t="s">
        <v>465</v>
      </c>
      <c r="R18" s="458"/>
      <c r="S18" s="458"/>
      <c r="T18" s="458"/>
      <c r="U18" s="458"/>
      <c r="V18" s="458"/>
      <c r="W18" s="459"/>
    </row>
    <row r="19" spans="1:24" ht="39.75" customHeight="1">
      <c r="B19" s="301">
        <v>4</v>
      </c>
      <c r="C19" s="809" t="s">
        <v>2837</v>
      </c>
      <c r="D19" s="809"/>
      <c r="E19" s="809"/>
      <c r="F19" s="809"/>
      <c r="G19" s="809"/>
      <c r="H19" s="809"/>
      <c r="I19" s="302"/>
      <c r="J19" s="814" t="str">
        <f>cst_wskakunin_BUILD__address</f>
        <v>静岡県静岡市葵区平和二丁目215-8</v>
      </c>
      <c r="K19" s="815"/>
      <c r="L19" s="815"/>
      <c r="M19" s="815"/>
      <c r="N19" s="815"/>
      <c r="O19" s="815"/>
      <c r="P19" s="815"/>
      <c r="Q19" s="815"/>
      <c r="R19" s="815"/>
      <c r="S19" s="815"/>
      <c r="T19" s="815"/>
      <c r="U19" s="815"/>
      <c r="V19" s="815"/>
      <c r="W19" s="816"/>
    </row>
    <row r="20" spans="1:24" ht="91.5" customHeight="1" thickBot="1">
      <c r="B20" s="299">
        <v>5</v>
      </c>
      <c r="C20" s="824" t="s">
        <v>2838</v>
      </c>
      <c r="D20" s="824"/>
      <c r="E20" s="824"/>
      <c r="F20" s="824"/>
      <c r="G20" s="824"/>
      <c r="H20" s="824"/>
      <c r="I20" s="303"/>
      <c r="J20" s="825"/>
      <c r="K20" s="826"/>
      <c r="L20" s="826"/>
      <c r="M20" s="826"/>
      <c r="N20" s="826"/>
      <c r="O20" s="826"/>
      <c r="P20" s="826"/>
      <c r="Q20" s="826"/>
      <c r="R20" s="826"/>
      <c r="S20" s="826"/>
      <c r="T20" s="826"/>
      <c r="U20" s="826"/>
      <c r="V20" s="826"/>
      <c r="W20" s="827"/>
    </row>
    <row r="21" spans="1:24" ht="120" customHeight="1" thickTop="1">
      <c r="B21" s="819" t="s">
        <v>2839</v>
      </c>
      <c r="C21" s="820"/>
      <c r="D21" s="821"/>
      <c r="E21" s="822"/>
      <c r="F21" s="822"/>
      <c r="G21" s="822"/>
      <c r="H21" s="822"/>
      <c r="I21" s="822"/>
      <c r="J21" s="822"/>
      <c r="K21" s="822"/>
      <c r="L21" s="822"/>
      <c r="M21" s="823"/>
      <c r="N21" s="304" t="s">
        <v>2805</v>
      </c>
      <c r="O21" s="821"/>
      <c r="P21" s="822"/>
      <c r="Q21" s="822"/>
      <c r="R21" s="823"/>
      <c r="S21" s="304" t="s">
        <v>2806</v>
      </c>
      <c r="T21" s="821"/>
      <c r="U21" s="822"/>
      <c r="V21" s="822"/>
      <c r="W21" s="823"/>
    </row>
    <row r="22" spans="1:24" ht="19.5" customHeight="1"/>
    <row r="23" spans="1:24" ht="20.25" customHeight="1">
      <c r="A23" s="295" t="s">
        <v>484</v>
      </c>
      <c r="C23" s="830" t="s">
        <v>3186</v>
      </c>
      <c r="D23" s="830"/>
      <c r="E23" s="830"/>
      <c r="F23" s="830"/>
      <c r="G23" s="830"/>
      <c r="H23" s="830"/>
      <c r="I23" s="830"/>
      <c r="J23" s="830"/>
      <c r="K23" s="830"/>
      <c r="L23" s="830"/>
      <c r="M23" s="830"/>
      <c r="N23" s="830"/>
      <c r="O23" s="830"/>
      <c r="P23" s="830"/>
      <c r="Q23" s="830"/>
      <c r="R23" s="830"/>
      <c r="S23" s="830"/>
      <c r="T23" s="830"/>
      <c r="U23" s="830"/>
      <c r="V23" s="830"/>
      <c r="W23" s="830"/>
      <c r="X23" s="830"/>
    </row>
    <row r="24" spans="1:24" ht="20.25" customHeight="1">
      <c r="C24" s="830" t="s">
        <v>3188</v>
      </c>
      <c r="D24" s="830"/>
      <c r="E24" s="830"/>
      <c r="F24" s="830"/>
      <c r="G24" s="830"/>
      <c r="H24" s="830"/>
      <c r="I24" s="830"/>
      <c r="J24" s="830"/>
      <c r="K24" s="830"/>
      <c r="L24" s="830"/>
      <c r="M24" s="830"/>
      <c r="N24" s="830"/>
      <c r="O24" s="830"/>
      <c r="P24" s="830"/>
      <c r="Q24" s="830"/>
      <c r="R24" s="830"/>
      <c r="S24" s="830"/>
      <c r="T24" s="830"/>
      <c r="U24" s="830"/>
      <c r="V24" s="830"/>
      <c r="W24" s="830"/>
      <c r="X24" s="830"/>
    </row>
    <row r="25" spans="1:24" ht="20.25" customHeight="1">
      <c r="C25" s="295" t="s">
        <v>3187</v>
      </c>
    </row>
    <row r="26" spans="1:24" ht="20.25" customHeight="1"/>
  </sheetData>
  <mergeCells count="21">
    <mergeCell ref="C19:H19"/>
    <mergeCell ref="J19:W19"/>
    <mergeCell ref="C20:H20"/>
    <mergeCell ref="J20:W20"/>
    <mergeCell ref="J18:K18"/>
    <mergeCell ref="C23:X23"/>
    <mergeCell ref="C24:X24"/>
    <mergeCell ref="C17:H17"/>
    <mergeCell ref="J17:W17"/>
    <mergeCell ref="A2:X2"/>
    <mergeCell ref="C16:H16"/>
    <mergeCell ref="J16:W16"/>
    <mergeCell ref="Q9:X10"/>
    <mergeCell ref="Q11:X12"/>
    <mergeCell ref="R4:S4"/>
    <mergeCell ref="B13:C13"/>
    <mergeCell ref="B21:C21"/>
    <mergeCell ref="D21:M21"/>
    <mergeCell ref="O21:R21"/>
    <mergeCell ref="T21:W21"/>
    <mergeCell ref="C18:H18"/>
  </mergeCells>
  <phoneticPr fontId="57"/>
  <printOptions horizontalCentered="1"/>
  <pageMargins left="0.39370078740157483" right="0.39370078740157483" top="0.6692913385826772"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E1:G36"/>
  <sheetViews>
    <sheetView topLeftCell="A10" workbookViewId="0">
      <selection activeCell="G37" sqref="G37"/>
    </sheetView>
  </sheetViews>
  <sheetFormatPr defaultColWidth="9" defaultRowHeight="18.75" customHeight="1"/>
  <cols>
    <col min="1" max="3" width="2.75" style="14" customWidth="1"/>
    <col min="4" max="4" width="4.125" style="14" customWidth="1"/>
    <col min="5" max="5" width="23.5" style="206" customWidth="1"/>
    <col min="6" max="6" width="9" style="14" customWidth="1"/>
    <col min="7" max="7" width="50.625" style="14" customWidth="1"/>
    <col min="8" max="8" width="9" style="14" customWidth="1"/>
    <col min="9" max="16384" width="9" style="14"/>
  </cols>
  <sheetData>
    <row r="1" spans="5:7" ht="18.75" customHeight="1">
      <c r="E1" s="206" t="s">
        <v>2504</v>
      </c>
      <c r="G1" s="120" t="s">
        <v>2505</v>
      </c>
    </row>
    <row r="2" spans="5:7" ht="18.75" customHeight="1">
      <c r="E2" s="206">
        <v>43699</v>
      </c>
      <c r="F2" s="14" t="s">
        <v>2506</v>
      </c>
      <c r="G2" s="14" t="s">
        <v>2507</v>
      </c>
    </row>
    <row r="3" spans="5:7" ht="18.75" customHeight="1">
      <c r="G3" s="14" t="s">
        <v>2549</v>
      </c>
    </row>
    <row r="4" spans="5:7" ht="18.75" customHeight="1">
      <c r="E4" s="206">
        <v>43700</v>
      </c>
      <c r="F4" s="14" t="s">
        <v>2506</v>
      </c>
      <c r="G4" s="14" t="s">
        <v>2568</v>
      </c>
    </row>
    <row r="5" spans="5:7" ht="18.75" customHeight="1">
      <c r="E5" s="206">
        <v>43703</v>
      </c>
      <c r="F5" s="14" t="s">
        <v>2506</v>
      </c>
      <c r="G5" s="14" t="s">
        <v>2569</v>
      </c>
    </row>
    <row r="6" spans="5:7" ht="18.75" customHeight="1">
      <c r="E6" s="206">
        <v>43710</v>
      </c>
      <c r="F6" s="14" t="s">
        <v>2506</v>
      </c>
      <c r="G6" s="14" t="s">
        <v>2601</v>
      </c>
    </row>
    <row r="7" spans="5:7" ht="18.75" customHeight="1">
      <c r="E7" s="206">
        <v>43711</v>
      </c>
      <c r="F7" s="14" t="s">
        <v>2506</v>
      </c>
      <c r="G7" s="14" t="s">
        <v>2604</v>
      </c>
    </row>
    <row r="8" spans="5:7" ht="18.75" customHeight="1">
      <c r="E8" s="206">
        <v>43712</v>
      </c>
      <c r="F8" s="14" t="s">
        <v>2506</v>
      </c>
      <c r="G8" s="14" t="s">
        <v>2653</v>
      </c>
    </row>
    <row r="9" spans="5:7" ht="18.75" customHeight="1">
      <c r="E9" s="206">
        <v>43734</v>
      </c>
      <c r="F9" s="14" t="s">
        <v>2655</v>
      </c>
      <c r="G9" s="14" t="s">
        <v>2654</v>
      </c>
    </row>
    <row r="10" spans="5:7" ht="18.75" customHeight="1">
      <c r="E10" s="206">
        <v>43822</v>
      </c>
      <c r="F10" s="14" t="s">
        <v>2506</v>
      </c>
      <c r="G10" s="14" t="s">
        <v>2656</v>
      </c>
    </row>
    <row r="12" spans="5:7" ht="18.75" customHeight="1">
      <c r="E12" s="206">
        <v>43959</v>
      </c>
      <c r="F12" s="14" t="s">
        <v>2847</v>
      </c>
      <c r="G12" s="14" t="s">
        <v>2848</v>
      </c>
    </row>
    <row r="13" spans="5:7" ht="18.75" customHeight="1">
      <c r="E13" s="206">
        <v>43970</v>
      </c>
      <c r="F13" s="14" t="s">
        <v>2506</v>
      </c>
      <c r="G13" s="14" t="s">
        <v>2849</v>
      </c>
    </row>
    <row r="14" spans="5:7" ht="18.75" customHeight="1">
      <c r="E14" s="206">
        <v>43991</v>
      </c>
      <c r="F14" s="14" t="s">
        <v>2847</v>
      </c>
      <c r="G14" s="14" t="s">
        <v>2850</v>
      </c>
    </row>
    <row r="15" spans="5:7" ht="18.75" customHeight="1">
      <c r="G15" s="14" t="s">
        <v>2849</v>
      </c>
    </row>
    <row r="16" spans="5:7" ht="18.75" customHeight="1">
      <c r="E16" s="206">
        <v>44183</v>
      </c>
      <c r="F16" s="14" t="s">
        <v>2655</v>
      </c>
      <c r="G16" s="14" t="s">
        <v>2851</v>
      </c>
    </row>
    <row r="17" spans="5:7" ht="18.75" customHeight="1">
      <c r="E17" s="206">
        <v>44293</v>
      </c>
      <c r="F17" s="14" t="s">
        <v>2853</v>
      </c>
      <c r="G17" s="14" t="s">
        <v>2854</v>
      </c>
    </row>
    <row r="18" spans="5:7" ht="18.75" customHeight="1">
      <c r="E18" s="206">
        <v>44376</v>
      </c>
      <c r="F18" s="14" t="s">
        <v>2847</v>
      </c>
      <c r="G18" s="14" t="s">
        <v>2873</v>
      </c>
    </row>
    <row r="19" spans="5:7" ht="18.75" customHeight="1">
      <c r="E19" s="206">
        <v>44382</v>
      </c>
      <c r="F19" s="14" t="s">
        <v>2853</v>
      </c>
      <c r="G19" s="14" t="s">
        <v>3038</v>
      </c>
    </row>
    <row r="20" spans="5:7" ht="18.75" customHeight="1">
      <c r="E20" s="206">
        <v>44636</v>
      </c>
      <c r="F20" s="14" t="s">
        <v>2655</v>
      </c>
      <c r="G20" s="14" t="s">
        <v>3083</v>
      </c>
    </row>
    <row r="21" spans="5:7" ht="18.75" customHeight="1">
      <c r="E21" s="206">
        <v>44643</v>
      </c>
      <c r="F21" s="14" t="s">
        <v>2853</v>
      </c>
      <c r="G21" s="14" t="s">
        <v>3084</v>
      </c>
    </row>
    <row r="22" spans="5:7" ht="18.75" customHeight="1">
      <c r="E22" s="206">
        <v>44719</v>
      </c>
      <c r="F22" s="14" t="s">
        <v>2847</v>
      </c>
      <c r="G22" s="14" t="s">
        <v>3087</v>
      </c>
    </row>
    <row r="23" spans="5:7" ht="18.75" customHeight="1">
      <c r="E23" s="206">
        <v>44720</v>
      </c>
      <c r="F23" s="14" t="s">
        <v>2847</v>
      </c>
      <c r="G23" s="14" t="s">
        <v>3167</v>
      </c>
    </row>
    <row r="24" spans="5:7" ht="18.75" customHeight="1">
      <c r="E24" s="206">
        <v>44721</v>
      </c>
      <c r="F24" s="14" t="s">
        <v>2847</v>
      </c>
      <c r="G24" s="14" t="s">
        <v>3169</v>
      </c>
    </row>
    <row r="25" spans="5:7" ht="18.75" customHeight="1">
      <c r="E25" s="206">
        <v>44729</v>
      </c>
      <c r="F25" s="14" t="s">
        <v>2847</v>
      </c>
      <c r="G25" s="14" t="s">
        <v>3192</v>
      </c>
    </row>
    <row r="26" spans="5:7" ht="18.75" customHeight="1">
      <c r="E26" s="206">
        <v>44733</v>
      </c>
      <c r="F26" s="14" t="s">
        <v>2847</v>
      </c>
      <c r="G26" s="14" t="s">
        <v>3193</v>
      </c>
    </row>
    <row r="27" spans="5:7" ht="18.75" customHeight="1">
      <c r="E27" s="206">
        <v>44743</v>
      </c>
      <c r="F27" s="14" t="s">
        <v>2847</v>
      </c>
      <c r="G27" s="14" t="s">
        <v>3200</v>
      </c>
    </row>
    <row r="28" spans="5:7" ht="18.75" customHeight="1">
      <c r="E28" s="206">
        <v>44747</v>
      </c>
      <c r="F28" s="14" t="s">
        <v>2847</v>
      </c>
      <c r="G28" s="14" t="s">
        <v>3213</v>
      </c>
    </row>
    <row r="29" spans="5:7" ht="18.75" customHeight="1">
      <c r="E29" s="206">
        <v>44748</v>
      </c>
      <c r="F29" s="14" t="s">
        <v>2847</v>
      </c>
      <c r="G29" s="14" t="s">
        <v>3217</v>
      </c>
    </row>
    <row r="30" spans="5:7" ht="18.75" customHeight="1">
      <c r="E30" s="206">
        <v>44768</v>
      </c>
      <c r="F30" s="14" t="s">
        <v>2847</v>
      </c>
      <c r="G30" s="14" t="s">
        <v>3237</v>
      </c>
    </row>
    <row r="31" spans="5:7" ht="18.75" customHeight="1">
      <c r="E31" s="206">
        <v>44782</v>
      </c>
      <c r="F31" s="14" t="s">
        <v>2847</v>
      </c>
      <c r="G31" s="14" t="s">
        <v>3242</v>
      </c>
    </row>
    <row r="32" spans="5:7" ht="18.75" customHeight="1">
      <c r="E32" s="206">
        <v>44783</v>
      </c>
      <c r="F32" s="14" t="s">
        <v>2847</v>
      </c>
      <c r="G32" s="14" t="s">
        <v>3254</v>
      </c>
    </row>
    <row r="33" spans="5:7" ht="18.75" customHeight="1">
      <c r="E33" s="206">
        <v>44804</v>
      </c>
      <c r="F33" s="14" t="s">
        <v>2847</v>
      </c>
      <c r="G33" s="14" t="s">
        <v>3255</v>
      </c>
    </row>
    <row r="34" spans="5:7" ht="18.75" customHeight="1">
      <c r="E34" s="206">
        <v>44806</v>
      </c>
      <c r="F34" s="14" t="s">
        <v>2847</v>
      </c>
      <c r="G34" s="14" t="s">
        <v>3256</v>
      </c>
    </row>
    <row r="35" spans="5:7" ht="18.75" customHeight="1">
      <c r="E35" s="206">
        <v>44810</v>
      </c>
      <c r="F35" s="14" t="s">
        <v>2847</v>
      </c>
      <c r="G35" s="14" t="s">
        <v>3257</v>
      </c>
    </row>
    <row r="36" spans="5:7" ht="18.75" customHeight="1">
      <c r="E36" s="206">
        <v>44895</v>
      </c>
      <c r="F36" s="14" t="s">
        <v>2847</v>
      </c>
      <c r="G36" s="14" t="s">
        <v>3259</v>
      </c>
    </row>
  </sheetData>
  <phoneticPr fontId="57"/>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zoomScale="75" zoomScaleNormal="75" zoomScaleSheetLayoutView="70" workbookViewId="0"/>
  </sheetViews>
  <sheetFormatPr defaultColWidth="3.75" defaultRowHeight="17.25" customHeight="1"/>
  <cols>
    <col min="1" max="1" width="2.5" style="295" customWidth="1"/>
    <col min="2" max="2" width="3" style="295" customWidth="1"/>
    <col min="3" max="4" width="2.25" style="295" customWidth="1"/>
    <col min="5" max="8" width="4.125" style="295" customWidth="1"/>
    <col min="9" max="9" width="1.25" style="295" customWidth="1"/>
    <col min="10" max="23" width="4.125" style="295" customWidth="1"/>
    <col min="24" max="24" width="2.625" style="295" customWidth="1"/>
    <col min="25" max="256" width="3.75" style="295" customWidth="1"/>
    <col min="257" max="257" width="2.5" style="295" customWidth="1"/>
    <col min="258" max="258" width="3" style="295" customWidth="1"/>
    <col min="259" max="260" width="2.25" style="295" customWidth="1"/>
    <col min="261" max="264" width="4.125" style="295" customWidth="1"/>
    <col min="265" max="265" width="1.25" style="295" customWidth="1"/>
    <col min="266" max="279" width="4.125" style="295" customWidth="1"/>
    <col min="280" max="280" width="2.625" style="295" customWidth="1"/>
    <col min="281" max="512" width="3.75" style="295" customWidth="1"/>
    <col min="513" max="513" width="2.5" style="295" customWidth="1"/>
    <col min="514" max="514" width="3" style="295" customWidth="1"/>
    <col min="515" max="516" width="2.25" style="295" customWidth="1"/>
    <col min="517" max="520" width="4.125" style="295" customWidth="1"/>
    <col min="521" max="521" width="1.25" style="295" customWidth="1"/>
    <col min="522" max="535" width="4.125" style="295" customWidth="1"/>
    <col min="536" max="536" width="2.625" style="295" customWidth="1"/>
    <col min="537" max="768" width="3.75" style="295" customWidth="1"/>
    <col min="769" max="769" width="2.5" style="295" customWidth="1"/>
    <col min="770" max="770" width="3" style="295" customWidth="1"/>
    <col min="771" max="772" width="2.25" style="295" customWidth="1"/>
    <col min="773" max="776" width="4.125" style="295" customWidth="1"/>
    <col min="777" max="777" width="1.25" style="295" customWidth="1"/>
    <col min="778" max="791" width="4.125" style="295" customWidth="1"/>
    <col min="792" max="792" width="2.625" style="295" customWidth="1"/>
    <col min="793" max="1024" width="3.75" style="295" customWidth="1"/>
    <col min="1025" max="1025" width="2.5" style="295" customWidth="1"/>
    <col min="1026" max="1026" width="3" style="295" customWidth="1"/>
    <col min="1027" max="1028" width="2.25" style="295" customWidth="1"/>
    <col min="1029" max="1032" width="4.125" style="295" customWidth="1"/>
    <col min="1033" max="1033" width="1.25" style="295" customWidth="1"/>
    <col min="1034" max="1047" width="4.125" style="295" customWidth="1"/>
    <col min="1048" max="1048" width="2.625" style="295" customWidth="1"/>
    <col min="1049" max="1280" width="3.75" style="295" customWidth="1"/>
    <col min="1281" max="1281" width="2.5" style="295" customWidth="1"/>
    <col min="1282" max="1282" width="3" style="295" customWidth="1"/>
    <col min="1283" max="1284" width="2.25" style="295" customWidth="1"/>
    <col min="1285" max="1288" width="4.125" style="295" customWidth="1"/>
    <col min="1289" max="1289" width="1.25" style="295" customWidth="1"/>
    <col min="1290" max="1303" width="4.125" style="295" customWidth="1"/>
    <col min="1304" max="1304" width="2.625" style="295" customWidth="1"/>
    <col min="1305" max="1536" width="3.75" style="295" customWidth="1"/>
    <col min="1537" max="1537" width="2.5" style="295" customWidth="1"/>
    <col min="1538" max="1538" width="3" style="295" customWidth="1"/>
    <col min="1539" max="1540" width="2.25" style="295" customWidth="1"/>
    <col min="1541" max="1544" width="4.125" style="295" customWidth="1"/>
    <col min="1545" max="1545" width="1.25" style="295" customWidth="1"/>
    <col min="1546" max="1559" width="4.125" style="295" customWidth="1"/>
    <col min="1560" max="1560" width="2.625" style="295" customWidth="1"/>
    <col min="1561" max="1792" width="3.75" style="295" customWidth="1"/>
    <col min="1793" max="1793" width="2.5" style="295" customWidth="1"/>
    <col min="1794" max="1794" width="3" style="295" customWidth="1"/>
    <col min="1795" max="1796" width="2.25" style="295" customWidth="1"/>
    <col min="1797" max="1800" width="4.125" style="295" customWidth="1"/>
    <col min="1801" max="1801" width="1.25" style="295" customWidth="1"/>
    <col min="1802" max="1815" width="4.125" style="295" customWidth="1"/>
    <col min="1816" max="1816" width="2.625" style="295" customWidth="1"/>
    <col min="1817" max="2048" width="3.75" style="295" customWidth="1"/>
    <col min="2049" max="2049" width="2.5" style="295" customWidth="1"/>
    <col min="2050" max="2050" width="3" style="295" customWidth="1"/>
    <col min="2051" max="2052" width="2.25" style="295" customWidth="1"/>
    <col min="2053" max="2056" width="4.125" style="295" customWidth="1"/>
    <col min="2057" max="2057" width="1.25" style="295" customWidth="1"/>
    <col min="2058" max="2071" width="4.125" style="295" customWidth="1"/>
    <col min="2072" max="2072" width="2.625" style="295" customWidth="1"/>
    <col min="2073" max="2304" width="3.75" style="295" customWidth="1"/>
    <col min="2305" max="2305" width="2.5" style="295" customWidth="1"/>
    <col min="2306" max="2306" width="3" style="295" customWidth="1"/>
    <col min="2307" max="2308" width="2.25" style="295" customWidth="1"/>
    <col min="2309" max="2312" width="4.125" style="295" customWidth="1"/>
    <col min="2313" max="2313" width="1.25" style="295" customWidth="1"/>
    <col min="2314" max="2327" width="4.125" style="295" customWidth="1"/>
    <col min="2328" max="2328" width="2.625" style="295" customWidth="1"/>
    <col min="2329" max="2560" width="3.75" style="295" customWidth="1"/>
    <col min="2561" max="2561" width="2.5" style="295" customWidth="1"/>
    <col min="2562" max="2562" width="3" style="295" customWidth="1"/>
    <col min="2563" max="2564" width="2.25" style="295" customWidth="1"/>
    <col min="2565" max="2568" width="4.125" style="295" customWidth="1"/>
    <col min="2569" max="2569" width="1.25" style="295" customWidth="1"/>
    <col min="2570" max="2583" width="4.125" style="295" customWidth="1"/>
    <col min="2584" max="2584" width="2.625" style="295" customWidth="1"/>
    <col min="2585" max="2816" width="3.75" style="295" customWidth="1"/>
    <col min="2817" max="2817" width="2.5" style="295" customWidth="1"/>
    <col min="2818" max="2818" width="3" style="295" customWidth="1"/>
    <col min="2819" max="2820" width="2.25" style="295" customWidth="1"/>
    <col min="2821" max="2824" width="4.125" style="295" customWidth="1"/>
    <col min="2825" max="2825" width="1.25" style="295" customWidth="1"/>
    <col min="2826" max="2839" width="4.125" style="295" customWidth="1"/>
    <col min="2840" max="2840" width="2.625" style="295" customWidth="1"/>
    <col min="2841" max="3072" width="3.75" style="295" customWidth="1"/>
    <col min="3073" max="3073" width="2.5" style="295" customWidth="1"/>
    <col min="3074" max="3074" width="3" style="295" customWidth="1"/>
    <col min="3075" max="3076" width="2.25" style="295" customWidth="1"/>
    <col min="3077" max="3080" width="4.125" style="295" customWidth="1"/>
    <col min="3081" max="3081" width="1.25" style="295" customWidth="1"/>
    <col min="3082" max="3095" width="4.125" style="295" customWidth="1"/>
    <col min="3096" max="3096" width="2.625" style="295" customWidth="1"/>
    <col min="3097" max="3328" width="3.75" style="295" customWidth="1"/>
    <col min="3329" max="3329" width="2.5" style="295" customWidth="1"/>
    <col min="3330" max="3330" width="3" style="295" customWidth="1"/>
    <col min="3331" max="3332" width="2.25" style="295" customWidth="1"/>
    <col min="3333" max="3336" width="4.125" style="295" customWidth="1"/>
    <col min="3337" max="3337" width="1.25" style="295" customWidth="1"/>
    <col min="3338" max="3351" width="4.125" style="295" customWidth="1"/>
    <col min="3352" max="3352" width="2.625" style="295" customWidth="1"/>
    <col min="3353" max="3584" width="3.75" style="295" customWidth="1"/>
    <col min="3585" max="3585" width="2.5" style="295" customWidth="1"/>
    <col min="3586" max="3586" width="3" style="295" customWidth="1"/>
    <col min="3587" max="3588" width="2.25" style="295" customWidth="1"/>
    <col min="3589" max="3592" width="4.125" style="295" customWidth="1"/>
    <col min="3593" max="3593" width="1.25" style="295" customWidth="1"/>
    <col min="3594" max="3607" width="4.125" style="295" customWidth="1"/>
    <col min="3608" max="3608" width="2.625" style="295" customWidth="1"/>
    <col min="3609" max="3840" width="3.75" style="295" customWidth="1"/>
    <col min="3841" max="3841" width="2.5" style="295" customWidth="1"/>
    <col min="3842" max="3842" width="3" style="295" customWidth="1"/>
    <col min="3843" max="3844" width="2.25" style="295" customWidth="1"/>
    <col min="3845" max="3848" width="4.125" style="295" customWidth="1"/>
    <col min="3849" max="3849" width="1.25" style="295" customWidth="1"/>
    <col min="3850" max="3863" width="4.125" style="295" customWidth="1"/>
    <col min="3864" max="3864" width="2.625" style="295" customWidth="1"/>
    <col min="3865" max="4096" width="3.75" style="295" customWidth="1"/>
    <col min="4097" max="4097" width="2.5" style="295" customWidth="1"/>
    <col min="4098" max="4098" width="3" style="295" customWidth="1"/>
    <col min="4099" max="4100" width="2.25" style="295" customWidth="1"/>
    <col min="4101" max="4104" width="4.125" style="295" customWidth="1"/>
    <col min="4105" max="4105" width="1.25" style="295" customWidth="1"/>
    <col min="4106" max="4119" width="4.125" style="295" customWidth="1"/>
    <col min="4120" max="4120" width="2.625" style="295" customWidth="1"/>
    <col min="4121" max="4352" width="3.75" style="295" customWidth="1"/>
    <col min="4353" max="4353" width="2.5" style="295" customWidth="1"/>
    <col min="4354" max="4354" width="3" style="295" customWidth="1"/>
    <col min="4355" max="4356" width="2.25" style="295" customWidth="1"/>
    <col min="4357" max="4360" width="4.125" style="295" customWidth="1"/>
    <col min="4361" max="4361" width="1.25" style="295" customWidth="1"/>
    <col min="4362" max="4375" width="4.125" style="295" customWidth="1"/>
    <col min="4376" max="4376" width="2.625" style="295" customWidth="1"/>
    <col min="4377" max="4608" width="3.75" style="295" customWidth="1"/>
    <col min="4609" max="4609" width="2.5" style="295" customWidth="1"/>
    <col min="4610" max="4610" width="3" style="295" customWidth="1"/>
    <col min="4611" max="4612" width="2.25" style="295" customWidth="1"/>
    <col min="4613" max="4616" width="4.125" style="295" customWidth="1"/>
    <col min="4617" max="4617" width="1.25" style="295" customWidth="1"/>
    <col min="4618" max="4631" width="4.125" style="295" customWidth="1"/>
    <col min="4632" max="4632" width="2.625" style="295" customWidth="1"/>
    <col min="4633" max="4864" width="3.75" style="295" customWidth="1"/>
    <col min="4865" max="4865" width="2.5" style="295" customWidth="1"/>
    <col min="4866" max="4866" width="3" style="295" customWidth="1"/>
    <col min="4867" max="4868" width="2.25" style="295" customWidth="1"/>
    <col min="4869" max="4872" width="4.125" style="295" customWidth="1"/>
    <col min="4873" max="4873" width="1.25" style="295" customWidth="1"/>
    <col min="4874" max="4887" width="4.125" style="295" customWidth="1"/>
    <col min="4888" max="4888" width="2.625" style="295" customWidth="1"/>
    <col min="4889" max="5120" width="3.75" style="295" customWidth="1"/>
    <col min="5121" max="5121" width="2.5" style="295" customWidth="1"/>
    <col min="5122" max="5122" width="3" style="295" customWidth="1"/>
    <col min="5123" max="5124" width="2.25" style="295" customWidth="1"/>
    <col min="5125" max="5128" width="4.125" style="295" customWidth="1"/>
    <col min="5129" max="5129" width="1.25" style="295" customWidth="1"/>
    <col min="5130" max="5143" width="4.125" style="295" customWidth="1"/>
    <col min="5144" max="5144" width="2.625" style="295" customWidth="1"/>
    <col min="5145" max="5376" width="3.75" style="295" customWidth="1"/>
    <col min="5377" max="5377" width="2.5" style="295" customWidth="1"/>
    <col min="5378" max="5378" width="3" style="295" customWidth="1"/>
    <col min="5379" max="5380" width="2.25" style="295" customWidth="1"/>
    <col min="5381" max="5384" width="4.125" style="295" customWidth="1"/>
    <col min="5385" max="5385" width="1.25" style="295" customWidth="1"/>
    <col min="5386" max="5399" width="4.125" style="295" customWidth="1"/>
    <col min="5400" max="5400" width="2.625" style="295" customWidth="1"/>
    <col min="5401" max="5632" width="3.75" style="295" customWidth="1"/>
    <col min="5633" max="5633" width="2.5" style="295" customWidth="1"/>
    <col min="5634" max="5634" width="3" style="295" customWidth="1"/>
    <col min="5635" max="5636" width="2.25" style="295" customWidth="1"/>
    <col min="5637" max="5640" width="4.125" style="295" customWidth="1"/>
    <col min="5641" max="5641" width="1.25" style="295" customWidth="1"/>
    <col min="5642" max="5655" width="4.125" style="295" customWidth="1"/>
    <col min="5656" max="5656" width="2.625" style="295" customWidth="1"/>
    <col min="5657" max="5888" width="3.75" style="295" customWidth="1"/>
    <col min="5889" max="5889" width="2.5" style="295" customWidth="1"/>
    <col min="5890" max="5890" width="3" style="295" customWidth="1"/>
    <col min="5891" max="5892" width="2.25" style="295" customWidth="1"/>
    <col min="5893" max="5896" width="4.125" style="295" customWidth="1"/>
    <col min="5897" max="5897" width="1.25" style="295" customWidth="1"/>
    <col min="5898" max="5911" width="4.125" style="295" customWidth="1"/>
    <col min="5912" max="5912" width="2.625" style="295" customWidth="1"/>
    <col min="5913" max="6144" width="3.75" style="295" customWidth="1"/>
    <col min="6145" max="6145" width="2.5" style="295" customWidth="1"/>
    <col min="6146" max="6146" width="3" style="295" customWidth="1"/>
    <col min="6147" max="6148" width="2.25" style="295" customWidth="1"/>
    <col min="6149" max="6152" width="4.125" style="295" customWidth="1"/>
    <col min="6153" max="6153" width="1.25" style="295" customWidth="1"/>
    <col min="6154" max="6167" width="4.125" style="295" customWidth="1"/>
    <col min="6168" max="6168" width="2.625" style="295" customWidth="1"/>
    <col min="6169" max="6400" width="3.75" style="295" customWidth="1"/>
    <col min="6401" max="6401" width="2.5" style="295" customWidth="1"/>
    <col min="6402" max="6402" width="3" style="295" customWidth="1"/>
    <col min="6403" max="6404" width="2.25" style="295" customWidth="1"/>
    <col min="6405" max="6408" width="4.125" style="295" customWidth="1"/>
    <col min="6409" max="6409" width="1.25" style="295" customWidth="1"/>
    <col min="6410" max="6423" width="4.125" style="295" customWidth="1"/>
    <col min="6424" max="6424" width="2.625" style="295" customWidth="1"/>
    <col min="6425" max="6656" width="3.75" style="295" customWidth="1"/>
    <col min="6657" max="6657" width="2.5" style="295" customWidth="1"/>
    <col min="6658" max="6658" width="3" style="295" customWidth="1"/>
    <col min="6659" max="6660" width="2.25" style="295" customWidth="1"/>
    <col min="6661" max="6664" width="4.125" style="295" customWidth="1"/>
    <col min="6665" max="6665" width="1.25" style="295" customWidth="1"/>
    <col min="6666" max="6679" width="4.125" style="295" customWidth="1"/>
    <col min="6680" max="6680" width="2.625" style="295" customWidth="1"/>
    <col min="6681" max="6912" width="3.75" style="295" customWidth="1"/>
    <col min="6913" max="6913" width="2.5" style="295" customWidth="1"/>
    <col min="6914" max="6914" width="3" style="295" customWidth="1"/>
    <col min="6915" max="6916" width="2.25" style="295" customWidth="1"/>
    <col min="6917" max="6920" width="4.125" style="295" customWidth="1"/>
    <col min="6921" max="6921" width="1.25" style="295" customWidth="1"/>
    <col min="6922" max="6935" width="4.125" style="295" customWidth="1"/>
    <col min="6936" max="6936" width="2.625" style="295" customWidth="1"/>
    <col min="6937" max="7168" width="3.75" style="295" customWidth="1"/>
    <col min="7169" max="7169" width="2.5" style="295" customWidth="1"/>
    <col min="7170" max="7170" width="3" style="295" customWidth="1"/>
    <col min="7171" max="7172" width="2.25" style="295" customWidth="1"/>
    <col min="7173" max="7176" width="4.125" style="295" customWidth="1"/>
    <col min="7177" max="7177" width="1.25" style="295" customWidth="1"/>
    <col min="7178" max="7191" width="4.125" style="295" customWidth="1"/>
    <col min="7192" max="7192" width="2.625" style="295" customWidth="1"/>
    <col min="7193" max="7424" width="3.75" style="295" customWidth="1"/>
    <col min="7425" max="7425" width="2.5" style="295" customWidth="1"/>
    <col min="7426" max="7426" width="3" style="295" customWidth="1"/>
    <col min="7427" max="7428" width="2.25" style="295" customWidth="1"/>
    <col min="7429" max="7432" width="4.125" style="295" customWidth="1"/>
    <col min="7433" max="7433" width="1.25" style="295" customWidth="1"/>
    <col min="7434" max="7447" width="4.125" style="295" customWidth="1"/>
    <col min="7448" max="7448" width="2.625" style="295" customWidth="1"/>
    <col min="7449" max="7680" width="3.75" style="295" customWidth="1"/>
    <col min="7681" max="7681" width="2.5" style="295" customWidth="1"/>
    <col min="7682" max="7682" width="3" style="295" customWidth="1"/>
    <col min="7683" max="7684" width="2.25" style="295" customWidth="1"/>
    <col min="7685" max="7688" width="4.125" style="295" customWidth="1"/>
    <col min="7689" max="7689" width="1.25" style="295" customWidth="1"/>
    <col min="7690" max="7703" width="4.125" style="295" customWidth="1"/>
    <col min="7704" max="7704" width="2.625" style="295" customWidth="1"/>
    <col min="7705" max="7936" width="3.75" style="295" customWidth="1"/>
    <col min="7937" max="7937" width="2.5" style="295" customWidth="1"/>
    <col min="7938" max="7938" width="3" style="295" customWidth="1"/>
    <col min="7939" max="7940" width="2.25" style="295" customWidth="1"/>
    <col min="7941" max="7944" width="4.125" style="295" customWidth="1"/>
    <col min="7945" max="7945" width="1.25" style="295" customWidth="1"/>
    <col min="7946" max="7959" width="4.125" style="295" customWidth="1"/>
    <col min="7960" max="7960" width="2.625" style="295" customWidth="1"/>
    <col min="7961" max="8192" width="3.75" style="295" customWidth="1"/>
    <col min="8193" max="8193" width="2.5" style="295" customWidth="1"/>
    <col min="8194" max="8194" width="3" style="295" customWidth="1"/>
    <col min="8195" max="8196" width="2.25" style="295" customWidth="1"/>
    <col min="8197" max="8200" width="4.125" style="295" customWidth="1"/>
    <col min="8201" max="8201" width="1.25" style="295" customWidth="1"/>
    <col min="8202" max="8215" width="4.125" style="295" customWidth="1"/>
    <col min="8216" max="8216" width="2.625" style="295" customWidth="1"/>
    <col min="8217" max="8448" width="3.75" style="295" customWidth="1"/>
    <col min="8449" max="8449" width="2.5" style="295" customWidth="1"/>
    <col min="8450" max="8450" width="3" style="295" customWidth="1"/>
    <col min="8451" max="8452" width="2.25" style="295" customWidth="1"/>
    <col min="8453" max="8456" width="4.125" style="295" customWidth="1"/>
    <col min="8457" max="8457" width="1.25" style="295" customWidth="1"/>
    <col min="8458" max="8471" width="4.125" style="295" customWidth="1"/>
    <col min="8472" max="8472" width="2.625" style="295" customWidth="1"/>
    <col min="8473" max="8704" width="3.75" style="295" customWidth="1"/>
    <col min="8705" max="8705" width="2.5" style="295" customWidth="1"/>
    <col min="8706" max="8706" width="3" style="295" customWidth="1"/>
    <col min="8707" max="8708" width="2.25" style="295" customWidth="1"/>
    <col min="8709" max="8712" width="4.125" style="295" customWidth="1"/>
    <col min="8713" max="8713" width="1.25" style="295" customWidth="1"/>
    <col min="8714" max="8727" width="4.125" style="295" customWidth="1"/>
    <col min="8728" max="8728" width="2.625" style="295" customWidth="1"/>
    <col min="8729" max="8960" width="3.75" style="295" customWidth="1"/>
    <col min="8961" max="8961" width="2.5" style="295" customWidth="1"/>
    <col min="8962" max="8962" width="3" style="295" customWidth="1"/>
    <col min="8963" max="8964" width="2.25" style="295" customWidth="1"/>
    <col min="8965" max="8968" width="4.125" style="295" customWidth="1"/>
    <col min="8969" max="8969" width="1.25" style="295" customWidth="1"/>
    <col min="8970" max="8983" width="4.125" style="295" customWidth="1"/>
    <col min="8984" max="8984" width="2.625" style="295" customWidth="1"/>
    <col min="8985" max="9216" width="3.75" style="295" customWidth="1"/>
    <col min="9217" max="9217" width="2.5" style="295" customWidth="1"/>
    <col min="9218" max="9218" width="3" style="295" customWidth="1"/>
    <col min="9219" max="9220" width="2.25" style="295" customWidth="1"/>
    <col min="9221" max="9224" width="4.125" style="295" customWidth="1"/>
    <col min="9225" max="9225" width="1.25" style="295" customWidth="1"/>
    <col min="9226" max="9239" width="4.125" style="295" customWidth="1"/>
    <col min="9240" max="9240" width="2.625" style="295" customWidth="1"/>
    <col min="9241" max="9472" width="3.75" style="295" customWidth="1"/>
    <col min="9473" max="9473" width="2.5" style="295" customWidth="1"/>
    <col min="9474" max="9474" width="3" style="295" customWidth="1"/>
    <col min="9475" max="9476" width="2.25" style="295" customWidth="1"/>
    <col min="9477" max="9480" width="4.125" style="295" customWidth="1"/>
    <col min="9481" max="9481" width="1.25" style="295" customWidth="1"/>
    <col min="9482" max="9495" width="4.125" style="295" customWidth="1"/>
    <col min="9496" max="9496" width="2.625" style="295" customWidth="1"/>
    <col min="9497" max="9728" width="3.75" style="295" customWidth="1"/>
    <col min="9729" max="9729" width="2.5" style="295" customWidth="1"/>
    <col min="9730" max="9730" width="3" style="295" customWidth="1"/>
    <col min="9731" max="9732" width="2.25" style="295" customWidth="1"/>
    <col min="9733" max="9736" width="4.125" style="295" customWidth="1"/>
    <col min="9737" max="9737" width="1.25" style="295" customWidth="1"/>
    <col min="9738" max="9751" width="4.125" style="295" customWidth="1"/>
    <col min="9752" max="9752" width="2.625" style="295" customWidth="1"/>
    <col min="9753" max="9984" width="3.75" style="295" customWidth="1"/>
    <col min="9985" max="9985" width="2.5" style="295" customWidth="1"/>
    <col min="9986" max="9986" width="3" style="295" customWidth="1"/>
    <col min="9987" max="9988" width="2.25" style="295" customWidth="1"/>
    <col min="9989" max="9992" width="4.125" style="295" customWidth="1"/>
    <col min="9993" max="9993" width="1.25" style="295" customWidth="1"/>
    <col min="9994" max="10007" width="4.125" style="295" customWidth="1"/>
    <col min="10008" max="10008" width="2.625" style="295" customWidth="1"/>
    <col min="10009" max="10240" width="3.75" style="295" customWidth="1"/>
    <col min="10241" max="10241" width="2.5" style="295" customWidth="1"/>
    <col min="10242" max="10242" width="3" style="295" customWidth="1"/>
    <col min="10243" max="10244" width="2.25" style="295" customWidth="1"/>
    <col min="10245" max="10248" width="4.125" style="295" customWidth="1"/>
    <col min="10249" max="10249" width="1.25" style="295" customWidth="1"/>
    <col min="10250" max="10263" width="4.125" style="295" customWidth="1"/>
    <col min="10264" max="10264" width="2.625" style="295" customWidth="1"/>
    <col min="10265" max="10496" width="3.75" style="295" customWidth="1"/>
    <col min="10497" max="10497" width="2.5" style="295" customWidth="1"/>
    <col min="10498" max="10498" width="3" style="295" customWidth="1"/>
    <col min="10499" max="10500" width="2.25" style="295" customWidth="1"/>
    <col min="10501" max="10504" width="4.125" style="295" customWidth="1"/>
    <col min="10505" max="10505" width="1.25" style="295" customWidth="1"/>
    <col min="10506" max="10519" width="4.125" style="295" customWidth="1"/>
    <col min="10520" max="10520" width="2.625" style="295" customWidth="1"/>
    <col min="10521" max="10752" width="3.75" style="295" customWidth="1"/>
    <col min="10753" max="10753" width="2.5" style="295" customWidth="1"/>
    <col min="10754" max="10754" width="3" style="295" customWidth="1"/>
    <col min="10755" max="10756" width="2.25" style="295" customWidth="1"/>
    <col min="10757" max="10760" width="4.125" style="295" customWidth="1"/>
    <col min="10761" max="10761" width="1.25" style="295" customWidth="1"/>
    <col min="10762" max="10775" width="4.125" style="295" customWidth="1"/>
    <col min="10776" max="10776" width="2.625" style="295" customWidth="1"/>
    <col min="10777" max="11008" width="3.75" style="295" customWidth="1"/>
    <col min="11009" max="11009" width="2.5" style="295" customWidth="1"/>
    <col min="11010" max="11010" width="3" style="295" customWidth="1"/>
    <col min="11011" max="11012" width="2.25" style="295" customWidth="1"/>
    <col min="11013" max="11016" width="4.125" style="295" customWidth="1"/>
    <col min="11017" max="11017" width="1.25" style="295" customWidth="1"/>
    <col min="11018" max="11031" width="4.125" style="295" customWidth="1"/>
    <col min="11032" max="11032" width="2.625" style="295" customWidth="1"/>
    <col min="11033" max="11264" width="3.75" style="295" customWidth="1"/>
    <col min="11265" max="11265" width="2.5" style="295" customWidth="1"/>
    <col min="11266" max="11266" width="3" style="295" customWidth="1"/>
    <col min="11267" max="11268" width="2.25" style="295" customWidth="1"/>
    <col min="11269" max="11272" width="4.125" style="295" customWidth="1"/>
    <col min="11273" max="11273" width="1.25" style="295" customWidth="1"/>
    <col min="11274" max="11287" width="4.125" style="295" customWidth="1"/>
    <col min="11288" max="11288" width="2.625" style="295" customWidth="1"/>
    <col min="11289" max="11520" width="3.75" style="295" customWidth="1"/>
    <col min="11521" max="11521" width="2.5" style="295" customWidth="1"/>
    <col min="11522" max="11522" width="3" style="295" customWidth="1"/>
    <col min="11523" max="11524" width="2.25" style="295" customWidth="1"/>
    <col min="11525" max="11528" width="4.125" style="295" customWidth="1"/>
    <col min="11529" max="11529" width="1.25" style="295" customWidth="1"/>
    <col min="11530" max="11543" width="4.125" style="295" customWidth="1"/>
    <col min="11544" max="11544" width="2.625" style="295" customWidth="1"/>
    <col min="11545" max="11776" width="3.75" style="295" customWidth="1"/>
    <col min="11777" max="11777" width="2.5" style="295" customWidth="1"/>
    <col min="11778" max="11778" width="3" style="295" customWidth="1"/>
    <col min="11779" max="11780" width="2.25" style="295" customWidth="1"/>
    <col min="11781" max="11784" width="4.125" style="295" customWidth="1"/>
    <col min="11785" max="11785" width="1.25" style="295" customWidth="1"/>
    <col min="11786" max="11799" width="4.125" style="295" customWidth="1"/>
    <col min="11800" max="11800" width="2.625" style="295" customWidth="1"/>
    <col min="11801" max="12032" width="3.75" style="295" customWidth="1"/>
    <col min="12033" max="12033" width="2.5" style="295" customWidth="1"/>
    <col min="12034" max="12034" width="3" style="295" customWidth="1"/>
    <col min="12035" max="12036" width="2.25" style="295" customWidth="1"/>
    <col min="12037" max="12040" width="4.125" style="295" customWidth="1"/>
    <col min="12041" max="12041" width="1.25" style="295" customWidth="1"/>
    <col min="12042" max="12055" width="4.125" style="295" customWidth="1"/>
    <col min="12056" max="12056" width="2.625" style="295" customWidth="1"/>
    <col min="12057" max="12288" width="3.75" style="295" customWidth="1"/>
    <col min="12289" max="12289" width="2.5" style="295" customWidth="1"/>
    <col min="12290" max="12290" width="3" style="295" customWidth="1"/>
    <col min="12291" max="12292" width="2.25" style="295" customWidth="1"/>
    <col min="12293" max="12296" width="4.125" style="295" customWidth="1"/>
    <col min="12297" max="12297" width="1.25" style="295" customWidth="1"/>
    <col min="12298" max="12311" width="4.125" style="295" customWidth="1"/>
    <col min="12312" max="12312" width="2.625" style="295" customWidth="1"/>
    <col min="12313" max="12544" width="3.75" style="295" customWidth="1"/>
    <col min="12545" max="12545" width="2.5" style="295" customWidth="1"/>
    <col min="12546" max="12546" width="3" style="295" customWidth="1"/>
    <col min="12547" max="12548" width="2.25" style="295" customWidth="1"/>
    <col min="12549" max="12552" width="4.125" style="295" customWidth="1"/>
    <col min="12553" max="12553" width="1.25" style="295" customWidth="1"/>
    <col min="12554" max="12567" width="4.125" style="295" customWidth="1"/>
    <col min="12568" max="12568" width="2.625" style="295" customWidth="1"/>
    <col min="12569" max="12800" width="3.75" style="295" customWidth="1"/>
    <col min="12801" max="12801" width="2.5" style="295" customWidth="1"/>
    <col min="12802" max="12802" width="3" style="295" customWidth="1"/>
    <col min="12803" max="12804" width="2.25" style="295" customWidth="1"/>
    <col min="12805" max="12808" width="4.125" style="295" customWidth="1"/>
    <col min="12809" max="12809" width="1.25" style="295" customWidth="1"/>
    <col min="12810" max="12823" width="4.125" style="295" customWidth="1"/>
    <col min="12824" max="12824" width="2.625" style="295" customWidth="1"/>
    <col min="12825" max="13056" width="3.75" style="295" customWidth="1"/>
    <col min="13057" max="13057" width="2.5" style="295" customWidth="1"/>
    <col min="13058" max="13058" width="3" style="295" customWidth="1"/>
    <col min="13059" max="13060" width="2.25" style="295" customWidth="1"/>
    <col min="13061" max="13064" width="4.125" style="295" customWidth="1"/>
    <col min="13065" max="13065" width="1.25" style="295" customWidth="1"/>
    <col min="13066" max="13079" width="4.125" style="295" customWidth="1"/>
    <col min="13080" max="13080" width="2.625" style="295" customWidth="1"/>
    <col min="13081" max="13312" width="3.75" style="295" customWidth="1"/>
    <col min="13313" max="13313" width="2.5" style="295" customWidth="1"/>
    <col min="13314" max="13314" width="3" style="295" customWidth="1"/>
    <col min="13315" max="13316" width="2.25" style="295" customWidth="1"/>
    <col min="13317" max="13320" width="4.125" style="295" customWidth="1"/>
    <col min="13321" max="13321" width="1.25" style="295" customWidth="1"/>
    <col min="13322" max="13335" width="4.125" style="295" customWidth="1"/>
    <col min="13336" max="13336" width="2.625" style="295" customWidth="1"/>
    <col min="13337" max="13568" width="3.75" style="295" customWidth="1"/>
    <col min="13569" max="13569" width="2.5" style="295" customWidth="1"/>
    <col min="13570" max="13570" width="3" style="295" customWidth="1"/>
    <col min="13571" max="13572" width="2.25" style="295" customWidth="1"/>
    <col min="13573" max="13576" width="4.125" style="295" customWidth="1"/>
    <col min="13577" max="13577" width="1.25" style="295" customWidth="1"/>
    <col min="13578" max="13591" width="4.125" style="295" customWidth="1"/>
    <col min="13592" max="13592" width="2.625" style="295" customWidth="1"/>
    <col min="13593" max="13824" width="3.75" style="295" customWidth="1"/>
    <col min="13825" max="13825" width="2.5" style="295" customWidth="1"/>
    <col min="13826" max="13826" width="3" style="295" customWidth="1"/>
    <col min="13827" max="13828" width="2.25" style="295" customWidth="1"/>
    <col min="13829" max="13832" width="4.125" style="295" customWidth="1"/>
    <col min="13833" max="13833" width="1.25" style="295" customWidth="1"/>
    <col min="13834" max="13847" width="4.125" style="295" customWidth="1"/>
    <col min="13848" max="13848" width="2.625" style="295" customWidth="1"/>
    <col min="13849" max="14080" width="3.75" style="295" customWidth="1"/>
    <col min="14081" max="14081" width="2.5" style="295" customWidth="1"/>
    <col min="14082" max="14082" width="3" style="295" customWidth="1"/>
    <col min="14083" max="14084" width="2.25" style="295" customWidth="1"/>
    <col min="14085" max="14088" width="4.125" style="295" customWidth="1"/>
    <col min="14089" max="14089" width="1.25" style="295" customWidth="1"/>
    <col min="14090" max="14103" width="4.125" style="295" customWidth="1"/>
    <col min="14104" max="14104" width="2.625" style="295" customWidth="1"/>
    <col min="14105" max="14336" width="3.75" style="295" customWidth="1"/>
    <col min="14337" max="14337" width="2.5" style="295" customWidth="1"/>
    <col min="14338" max="14338" width="3" style="295" customWidth="1"/>
    <col min="14339" max="14340" width="2.25" style="295" customWidth="1"/>
    <col min="14341" max="14344" width="4.125" style="295" customWidth="1"/>
    <col min="14345" max="14345" width="1.25" style="295" customWidth="1"/>
    <col min="14346" max="14359" width="4.125" style="295" customWidth="1"/>
    <col min="14360" max="14360" width="2.625" style="295" customWidth="1"/>
    <col min="14361" max="14592" width="3.75" style="295" customWidth="1"/>
    <col min="14593" max="14593" width="2.5" style="295" customWidth="1"/>
    <col min="14594" max="14594" width="3" style="295" customWidth="1"/>
    <col min="14595" max="14596" width="2.25" style="295" customWidth="1"/>
    <col min="14597" max="14600" width="4.125" style="295" customWidth="1"/>
    <col min="14601" max="14601" width="1.25" style="295" customWidth="1"/>
    <col min="14602" max="14615" width="4.125" style="295" customWidth="1"/>
    <col min="14616" max="14616" width="2.625" style="295" customWidth="1"/>
    <col min="14617" max="14848" width="3.75" style="295" customWidth="1"/>
    <col min="14849" max="14849" width="2.5" style="295" customWidth="1"/>
    <col min="14850" max="14850" width="3" style="295" customWidth="1"/>
    <col min="14851" max="14852" width="2.25" style="295" customWidth="1"/>
    <col min="14853" max="14856" width="4.125" style="295" customWidth="1"/>
    <col min="14857" max="14857" width="1.25" style="295" customWidth="1"/>
    <col min="14858" max="14871" width="4.125" style="295" customWidth="1"/>
    <col min="14872" max="14872" width="2.625" style="295" customWidth="1"/>
    <col min="14873" max="15104" width="3.75" style="295" customWidth="1"/>
    <col min="15105" max="15105" width="2.5" style="295" customWidth="1"/>
    <col min="15106" max="15106" width="3" style="295" customWidth="1"/>
    <col min="15107" max="15108" width="2.25" style="295" customWidth="1"/>
    <col min="15109" max="15112" width="4.125" style="295" customWidth="1"/>
    <col min="15113" max="15113" width="1.25" style="295" customWidth="1"/>
    <col min="15114" max="15127" width="4.125" style="295" customWidth="1"/>
    <col min="15128" max="15128" width="2.625" style="295" customWidth="1"/>
    <col min="15129" max="15360" width="3.75" style="295" customWidth="1"/>
    <col min="15361" max="15361" width="2.5" style="295" customWidth="1"/>
    <col min="15362" max="15362" width="3" style="295" customWidth="1"/>
    <col min="15363" max="15364" width="2.25" style="295" customWidth="1"/>
    <col min="15365" max="15368" width="4.125" style="295" customWidth="1"/>
    <col min="15369" max="15369" width="1.25" style="295" customWidth="1"/>
    <col min="15370" max="15383" width="4.125" style="295" customWidth="1"/>
    <col min="15384" max="15384" width="2.625" style="295" customWidth="1"/>
    <col min="15385" max="15616" width="3.75" style="295" customWidth="1"/>
    <col min="15617" max="15617" width="2.5" style="295" customWidth="1"/>
    <col min="15618" max="15618" width="3" style="295" customWidth="1"/>
    <col min="15619" max="15620" width="2.25" style="295" customWidth="1"/>
    <col min="15621" max="15624" width="4.125" style="295" customWidth="1"/>
    <col min="15625" max="15625" width="1.25" style="295" customWidth="1"/>
    <col min="15626" max="15639" width="4.125" style="295" customWidth="1"/>
    <col min="15640" max="15640" width="2.625" style="295" customWidth="1"/>
    <col min="15641" max="15872" width="3.75" style="295" customWidth="1"/>
    <col min="15873" max="15873" width="2.5" style="295" customWidth="1"/>
    <col min="15874" max="15874" width="3" style="295" customWidth="1"/>
    <col min="15875" max="15876" width="2.25" style="295" customWidth="1"/>
    <col min="15877" max="15880" width="4.125" style="295" customWidth="1"/>
    <col min="15881" max="15881" width="1.25" style="295" customWidth="1"/>
    <col min="15882" max="15895" width="4.125" style="295" customWidth="1"/>
    <col min="15896" max="15896" width="2.625" style="295" customWidth="1"/>
    <col min="15897" max="16128" width="3.75" style="295" customWidth="1"/>
    <col min="16129" max="16129" width="2.5" style="295" customWidth="1"/>
    <col min="16130" max="16130" width="3" style="295" customWidth="1"/>
    <col min="16131" max="16132" width="2.25" style="295" customWidth="1"/>
    <col min="16133" max="16136" width="4.125" style="295" customWidth="1"/>
    <col min="16137" max="16137" width="1.25" style="295" customWidth="1"/>
    <col min="16138" max="16151" width="4.125" style="295" customWidth="1"/>
    <col min="16152" max="16152" width="2.625" style="295" customWidth="1"/>
    <col min="16153" max="16384" width="3.75" style="295" customWidth="1"/>
  </cols>
  <sheetData>
    <row r="1" spans="1:24" ht="17.25" customHeight="1">
      <c r="A1" s="298" t="s">
        <v>2841</v>
      </c>
    </row>
    <row r="2" spans="1:24" ht="17.25" customHeight="1">
      <c r="A2" s="813" t="s">
        <v>3045</v>
      </c>
      <c r="B2" s="813"/>
      <c r="C2" s="813"/>
      <c r="D2" s="813"/>
      <c r="E2" s="813"/>
      <c r="F2" s="813"/>
      <c r="G2" s="813"/>
      <c r="H2" s="813"/>
      <c r="I2" s="813"/>
      <c r="J2" s="813"/>
      <c r="K2" s="813"/>
      <c r="L2" s="813"/>
      <c r="M2" s="813"/>
      <c r="N2" s="813"/>
      <c r="O2" s="813"/>
      <c r="P2" s="813"/>
      <c r="Q2" s="813"/>
      <c r="R2" s="813"/>
      <c r="S2" s="813"/>
      <c r="T2" s="813"/>
      <c r="U2" s="813"/>
      <c r="V2" s="813"/>
      <c r="W2" s="813"/>
      <c r="X2" s="813"/>
    </row>
    <row r="3" spans="1:24" ht="19.5" customHeight="1"/>
    <row r="4" spans="1:24" ht="17.25" customHeight="1">
      <c r="Q4" s="451"/>
      <c r="R4" s="817"/>
      <c r="S4" s="817"/>
      <c r="T4" s="451" t="s">
        <v>464</v>
      </c>
      <c r="U4" s="464"/>
      <c r="V4" s="451" t="s">
        <v>1</v>
      </c>
      <c r="W4" s="464"/>
      <c r="X4" s="451" t="s">
        <v>465</v>
      </c>
    </row>
    <row r="5" spans="1:24" ht="20.25" customHeight="1"/>
    <row r="6" spans="1:24" ht="17.25" customHeight="1">
      <c r="C6" s="405" t="str">
        <f ca="1">cst_Pre_Corp__SHINSEI</f>
        <v>一般財団法人静岡県建築住宅まちづくりセンター</v>
      </c>
    </row>
    <row r="7" spans="1:24" ht="17.25" customHeight="1">
      <c r="C7" s="405" t="str">
        <f ca="1">cst_Pre_Daihyou__SHINSEI</f>
        <v>理事長 　柳　敏幸</v>
      </c>
      <c r="J7" s="295" t="s">
        <v>2796</v>
      </c>
    </row>
    <row r="8" spans="1:24" ht="9" customHeight="1"/>
    <row r="9" spans="1:24" ht="17.25" customHeight="1">
      <c r="P9" s="294" t="s">
        <v>3041</v>
      </c>
      <c r="Q9" s="785" t="str">
        <f>cst_wskakunin_owner1__address</f>
        <v>静岡県静岡市葵区新伝馬二丁目8-41-101</v>
      </c>
      <c r="R9" s="785"/>
      <c r="S9" s="785"/>
      <c r="T9" s="785"/>
      <c r="U9" s="785"/>
      <c r="V9" s="785"/>
      <c r="W9" s="785"/>
      <c r="X9" s="785"/>
    </row>
    <row r="10" spans="1:24" ht="17.25" customHeight="1">
      <c r="N10" s="295" t="s">
        <v>2832</v>
      </c>
      <c r="Q10" s="785"/>
      <c r="R10" s="785"/>
      <c r="S10" s="785"/>
      <c r="T10" s="785"/>
      <c r="U10" s="785"/>
      <c r="V10" s="785"/>
      <c r="W10" s="785"/>
      <c r="X10" s="785"/>
    </row>
    <row r="11" spans="1:24" ht="17.25" customHeight="1">
      <c r="P11" s="294" t="s">
        <v>3042</v>
      </c>
      <c r="Q11" s="785" t="str">
        <f>cst_wskakunin_owner1__space3</f>
        <v>菅野　幸子</v>
      </c>
      <c r="R11" s="785"/>
      <c r="S11" s="785"/>
      <c r="T11" s="785"/>
      <c r="U11" s="785"/>
      <c r="V11" s="785"/>
      <c r="W11" s="785"/>
      <c r="X11" s="785"/>
    </row>
    <row r="12" spans="1:24" ht="22.5" customHeight="1">
      <c r="Q12" s="785"/>
      <c r="R12" s="785"/>
      <c r="S12" s="785"/>
      <c r="T12" s="785"/>
      <c r="U12" s="785"/>
      <c r="V12" s="785"/>
      <c r="W12" s="785"/>
      <c r="X12" s="785"/>
    </row>
    <row r="13" spans="1:24" ht="17.25" customHeight="1">
      <c r="B13" s="818">
        <f>cst_shinsei_HIKIUKE_DATE</f>
        <v>45023</v>
      </c>
      <c r="C13" s="818"/>
      <c r="D13" s="295" t="s">
        <v>464</v>
      </c>
      <c r="E13" s="462">
        <f>cst_shinsei_HIKIUKE_DATE</f>
        <v>45023</v>
      </c>
      <c r="F13" s="295" t="s">
        <v>1</v>
      </c>
      <c r="G13" s="463">
        <f>cst_shinsei_HIKIUKE_DATE</f>
        <v>45023</v>
      </c>
      <c r="H13" s="295" t="s">
        <v>465</v>
      </c>
      <c r="J13" s="295" t="s">
        <v>3036</v>
      </c>
    </row>
    <row r="14" spans="1:24" ht="17.25" customHeight="1">
      <c r="B14" s="295" t="s">
        <v>3035</v>
      </c>
    </row>
    <row r="15" spans="1:24" ht="21.75" customHeight="1"/>
    <row r="16" spans="1:24" ht="39.75" customHeight="1">
      <c r="B16" s="299">
        <v>1</v>
      </c>
      <c r="C16" s="809" t="s">
        <v>2834</v>
      </c>
      <c r="D16" s="809"/>
      <c r="E16" s="809"/>
      <c r="F16" s="809"/>
      <c r="G16" s="809"/>
      <c r="H16" s="809"/>
      <c r="I16" s="300"/>
      <c r="J16" s="814" t="str">
        <f>cst_wskakunin_owner1__space</f>
        <v>菅野　幸子</v>
      </c>
      <c r="K16" s="815"/>
      <c r="L16" s="815"/>
      <c r="M16" s="815"/>
      <c r="N16" s="815"/>
      <c r="O16" s="815"/>
      <c r="P16" s="815"/>
      <c r="Q16" s="815"/>
      <c r="R16" s="815"/>
      <c r="S16" s="815"/>
      <c r="T16" s="815"/>
      <c r="U16" s="815"/>
      <c r="V16" s="815"/>
      <c r="W16" s="816"/>
    </row>
    <row r="17" spans="1:24" ht="39.75" customHeight="1">
      <c r="B17" s="301">
        <v>2</v>
      </c>
      <c r="C17" s="809" t="s">
        <v>20</v>
      </c>
      <c r="D17" s="809"/>
      <c r="E17" s="809"/>
      <c r="F17" s="809"/>
      <c r="G17" s="809"/>
      <c r="H17" s="809"/>
      <c r="I17" s="302"/>
      <c r="J17" s="810" t="str">
        <f ca="1">IF(cst_ISSUE_NO_select="","第　　　　　　　号",IF(COUNTIF(cst_ISSUE_NO_select,"*第*")&gt;0,"","第")&amp;cst_ISSUE_NO_select&amp;IF(COUNTIF(cst_ISSUE_NO_select,"*号*")&gt;0,"","号"))</f>
        <v>第 2022確認建築静建住ま10505 号</v>
      </c>
      <c r="K17" s="811"/>
      <c r="L17" s="811"/>
      <c r="M17" s="811"/>
      <c r="N17" s="811"/>
      <c r="O17" s="811"/>
      <c r="P17" s="811"/>
      <c r="Q17" s="811"/>
      <c r="R17" s="811"/>
      <c r="S17" s="811"/>
      <c r="T17" s="811"/>
      <c r="U17" s="811"/>
      <c r="V17" s="811"/>
      <c r="W17" s="812"/>
    </row>
    <row r="18" spans="1:24" ht="39.75" customHeight="1">
      <c r="B18" s="301">
        <v>3</v>
      </c>
      <c r="C18" s="809" t="s">
        <v>21</v>
      </c>
      <c r="D18" s="809"/>
      <c r="E18" s="809"/>
      <c r="F18" s="809"/>
      <c r="G18" s="809"/>
      <c r="H18" s="809"/>
      <c r="I18" s="302"/>
      <c r="J18" s="828">
        <f ca="1">cst_ISSUE_DATE_select</f>
        <v>44958</v>
      </c>
      <c r="K18" s="829"/>
      <c r="L18" s="458" t="s">
        <v>464</v>
      </c>
      <c r="M18" s="460">
        <f ca="1">cst_ISSUE_DATE_select</f>
        <v>44958</v>
      </c>
      <c r="N18" s="458" t="s">
        <v>1</v>
      </c>
      <c r="O18" s="461">
        <f ca="1">cst_ISSUE_DATE_select</f>
        <v>44958</v>
      </c>
      <c r="P18" s="458" t="s">
        <v>465</v>
      </c>
      <c r="Q18" s="458"/>
      <c r="R18" s="458"/>
      <c r="S18" s="458"/>
      <c r="T18" s="458"/>
      <c r="U18" s="458"/>
      <c r="V18" s="458"/>
      <c r="W18" s="459"/>
    </row>
    <row r="19" spans="1:24" ht="39.75" customHeight="1">
      <c r="B19" s="301">
        <v>4</v>
      </c>
      <c r="C19" s="809" t="s">
        <v>2837</v>
      </c>
      <c r="D19" s="809"/>
      <c r="E19" s="809"/>
      <c r="F19" s="809"/>
      <c r="G19" s="809"/>
      <c r="H19" s="809"/>
      <c r="I19" s="302"/>
      <c r="J19" s="814" t="str">
        <f>cst_wskakunin_BUILD__address</f>
        <v>静岡県静岡市葵区平和二丁目215-8</v>
      </c>
      <c r="K19" s="815"/>
      <c r="L19" s="815"/>
      <c r="M19" s="815"/>
      <c r="N19" s="815"/>
      <c r="O19" s="815"/>
      <c r="P19" s="815"/>
      <c r="Q19" s="815"/>
      <c r="R19" s="815"/>
      <c r="S19" s="815"/>
      <c r="T19" s="815"/>
      <c r="U19" s="815"/>
      <c r="V19" s="815"/>
      <c r="W19" s="816"/>
    </row>
    <row r="20" spans="1:24" ht="91.5" customHeight="1" thickBot="1">
      <c r="B20" s="299">
        <v>5</v>
      </c>
      <c r="C20" s="824" t="s">
        <v>2838</v>
      </c>
      <c r="D20" s="824"/>
      <c r="E20" s="824"/>
      <c r="F20" s="824"/>
      <c r="G20" s="824"/>
      <c r="H20" s="824"/>
      <c r="I20" s="303"/>
      <c r="J20" s="825"/>
      <c r="K20" s="826"/>
      <c r="L20" s="826"/>
      <c r="M20" s="826"/>
      <c r="N20" s="826"/>
      <c r="O20" s="826"/>
      <c r="P20" s="826"/>
      <c r="Q20" s="826"/>
      <c r="R20" s="826"/>
      <c r="S20" s="826"/>
      <c r="T20" s="826"/>
      <c r="U20" s="826"/>
      <c r="V20" s="826"/>
      <c r="W20" s="827"/>
    </row>
    <row r="21" spans="1:24" ht="120" customHeight="1" thickTop="1">
      <c r="B21" s="819" t="s">
        <v>2839</v>
      </c>
      <c r="C21" s="820"/>
      <c r="D21" s="821"/>
      <c r="E21" s="822"/>
      <c r="F21" s="822"/>
      <c r="G21" s="822"/>
      <c r="H21" s="822"/>
      <c r="I21" s="822"/>
      <c r="J21" s="822"/>
      <c r="K21" s="822"/>
      <c r="L21" s="822"/>
      <c r="M21" s="823"/>
      <c r="N21" s="304" t="s">
        <v>2805</v>
      </c>
      <c r="O21" s="821"/>
      <c r="P21" s="822"/>
      <c r="Q21" s="822"/>
      <c r="R21" s="823"/>
      <c r="S21" s="304" t="s">
        <v>2806</v>
      </c>
      <c r="T21" s="821"/>
      <c r="U21" s="822"/>
      <c r="V21" s="822"/>
      <c r="W21" s="823"/>
    </row>
    <row r="22" spans="1:24" ht="19.5" customHeight="1"/>
    <row r="23" spans="1:24" ht="20.25" customHeight="1">
      <c r="A23" s="295" t="s">
        <v>484</v>
      </c>
      <c r="C23" s="830" t="s">
        <v>3186</v>
      </c>
      <c r="D23" s="830"/>
      <c r="E23" s="830"/>
      <c r="F23" s="830"/>
      <c r="G23" s="830"/>
      <c r="H23" s="830"/>
      <c r="I23" s="830"/>
      <c r="J23" s="830"/>
      <c r="K23" s="830"/>
      <c r="L23" s="830"/>
      <c r="M23" s="830"/>
      <c r="N23" s="830"/>
      <c r="O23" s="830"/>
      <c r="P23" s="830"/>
      <c r="Q23" s="830"/>
      <c r="R23" s="830"/>
      <c r="S23" s="830"/>
      <c r="T23" s="830"/>
      <c r="U23" s="830"/>
      <c r="V23" s="830"/>
      <c r="W23" s="830"/>
      <c r="X23" s="830"/>
    </row>
    <row r="24" spans="1:24" ht="20.25" customHeight="1">
      <c r="C24" s="830" t="s">
        <v>3188</v>
      </c>
      <c r="D24" s="830"/>
      <c r="E24" s="830"/>
      <c r="F24" s="830"/>
      <c r="G24" s="830"/>
      <c r="H24" s="830"/>
      <c r="I24" s="830"/>
      <c r="J24" s="830"/>
      <c r="K24" s="830"/>
      <c r="L24" s="830"/>
      <c r="M24" s="830"/>
      <c r="N24" s="830"/>
      <c r="O24" s="830"/>
      <c r="P24" s="830"/>
      <c r="Q24" s="830"/>
      <c r="R24" s="830"/>
      <c r="S24" s="830"/>
      <c r="T24" s="830"/>
      <c r="U24" s="830"/>
      <c r="V24" s="830"/>
      <c r="W24" s="830"/>
      <c r="X24" s="830"/>
    </row>
    <row r="25" spans="1:24" ht="20.25" customHeight="1">
      <c r="C25" s="295" t="s">
        <v>3187</v>
      </c>
    </row>
    <row r="26" spans="1:24" ht="20.25" customHeight="1"/>
  </sheetData>
  <mergeCells count="21">
    <mergeCell ref="C19:H19"/>
    <mergeCell ref="J19:W19"/>
    <mergeCell ref="C20:H20"/>
    <mergeCell ref="J20:W20"/>
    <mergeCell ref="J18:K18"/>
    <mergeCell ref="C23:X23"/>
    <mergeCell ref="C24:X24"/>
    <mergeCell ref="C17:H17"/>
    <mergeCell ref="J17:W17"/>
    <mergeCell ref="A2:X2"/>
    <mergeCell ref="C16:H16"/>
    <mergeCell ref="J16:W16"/>
    <mergeCell ref="Q9:X10"/>
    <mergeCell ref="Q11:X12"/>
    <mergeCell ref="R4:S4"/>
    <mergeCell ref="B13:C13"/>
    <mergeCell ref="B21:C21"/>
    <mergeCell ref="D21:M21"/>
    <mergeCell ref="O21:R21"/>
    <mergeCell ref="T21:W21"/>
    <mergeCell ref="C18:H18"/>
  </mergeCells>
  <phoneticPr fontId="57"/>
  <printOptions horizontalCentered="1"/>
  <pageMargins left="0.39370078740157483" right="0.39370078740157483" top="0.6692913385826772" bottom="0.74803149606299213"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zoomScale="75" zoomScaleNormal="75" workbookViewId="0"/>
  </sheetViews>
  <sheetFormatPr defaultColWidth="3.75" defaultRowHeight="17.25" customHeight="1"/>
  <cols>
    <col min="1" max="1" width="2.5" style="295" customWidth="1"/>
    <col min="2" max="2" width="3" style="295" customWidth="1"/>
    <col min="3" max="3" width="2.75" style="295" customWidth="1"/>
    <col min="4" max="4" width="3.375" style="295" customWidth="1"/>
    <col min="5" max="22" width="4.125" style="295" customWidth="1"/>
    <col min="23" max="23" width="2.625" style="295" customWidth="1"/>
    <col min="24" max="255" width="3.75" style="295" customWidth="1"/>
    <col min="256" max="256" width="2.5" style="295" customWidth="1"/>
    <col min="257" max="257" width="3" style="295" customWidth="1"/>
    <col min="258" max="259" width="2.25" style="295" customWidth="1"/>
    <col min="260" max="263" width="4.125" style="295" customWidth="1"/>
    <col min="264" max="264" width="1.25" style="295" customWidth="1"/>
    <col min="265" max="278" width="4.125" style="295" customWidth="1"/>
    <col min="279" max="279" width="2.625" style="295" customWidth="1"/>
    <col min="280" max="511" width="3.75" style="295" customWidth="1"/>
    <col min="512" max="512" width="2.5" style="295" customWidth="1"/>
    <col min="513" max="513" width="3" style="295" customWidth="1"/>
    <col min="514" max="515" width="2.25" style="295" customWidth="1"/>
    <col min="516" max="519" width="4.125" style="295" customWidth="1"/>
    <col min="520" max="520" width="1.25" style="295" customWidth="1"/>
    <col min="521" max="534" width="4.125" style="295" customWidth="1"/>
    <col min="535" max="535" width="2.625" style="295" customWidth="1"/>
    <col min="536" max="767" width="3.75" style="295" customWidth="1"/>
    <col min="768" max="768" width="2.5" style="295" customWidth="1"/>
    <col min="769" max="769" width="3" style="295" customWidth="1"/>
    <col min="770" max="771" width="2.25" style="295" customWidth="1"/>
    <col min="772" max="775" width="4.125" style="295" customWidth="1"/>
    <col min="776" max="776" width="1.25" style="295" customWidth="1"/>
    <col min="777" max="790" width="4.125" style="295" customWidth="1"/>
    <col min="791" max="791" width="2.625" style="295" customWidth="1"/>
    <col min="792" max="1023" width="3.75" style="295" customWidth="1"/>
    <col min="1024" max="1024" width="2.5" style="295" customWidth="1"/>
    <col min="1025" max="1025" width="3" style="295" customWidth="1"/>
    <col min="1026" max="1027" width="2.25" style="295" customWidth="1"/>
    <col min="1028" max="1031" width="4.125" style="295" customWidth="1"/>
    <col min="1032" max="1032" width="1.25" style="295" customWidth="1"/>
    <col min="1033" max="1046" width="4.125" style="295" customWidth="1"/>
    <col min="1047" max="1047" width="2.625" style="295" customWidth="1"/>
    <col min="1048" max="1279" width="3.75" style="295" customWidth="1"/>
    <col min="1280" max="1280" width="2.5" style="295" customWidth="1"/>
    <col min="1281" max="1281" width="3" style="295" customWidth="1"/>
    <col min="1282" max="1283" width="2.25" style="295" customWidth="1"/>
    <col min="1284" max="1287" width="4.125" style="295" customWidth="1"/>
    <col min="1288" max="1288" width="1.25" style="295" customWidth="1"/>
    <col min="1289" max="1302" width="4.125" style="295" customWidth="1"/>
    <col min="1303" max="1303" width="2.625" style="295" customWidth="1"/>
    <col min="1304" max="1535" width="3.75" style="295" customWidth="1"/>
    <col min="1536" max="1536" width="2.5" style="295" customWidth="1"/>
    <col min="1537" max="1537" width="3" style="295" customWidth="1"/>
    <col min="1538" max="1539" width="2.25" style="295" customWidth="1"/>
    <col min="1540" max="1543" width="4.125" style="295" customWidth="1"/>
    <col min="1544" max="1544" width="1.25" style="295" customWidth="1"/>
    <col min="1545" max="1558" width="4.125" style="295" customWidth="1"/>
    <col min="1559" max="1559" width="2.625" style="295" customWidth="1"/>
    <col min="1560" max="1791" width="3.75" style="295" customWidth="1"/>
    <col min="1792" max="1792" width="2.5" style="295" customWidth="1"/>
    <col min="1793" max="1793" width="3" style="295" customWidth="1"/>
    <col min="1794" max="1795" width="2.25" style="295" customWidth="1"/>
    <col min="1796" max="1799" width="4.125" style="295" customWidth="1"/>
    <col min="1800" max="1800" width="1.25" style="295" customWidth="1"/>
    <col min="1801" max="1814" width="4.125" style="295" customWidth="1"/>
    <col min="1815" max="1815" width="2.625" style="295" customWidth="1"/>
    <col min="1816" max="2047" width="3.75" style="295" customWidth="1"/>
    <col min="2048" max="2048" width="2.5" style="295" customWidth="1"/>
    <col min="2049" max="2049" width="3" style="295" customWidth="1"/>
    <col min="2050" max="2051" width="2.25" style="295" customWidth="1"/>
    <col min="2052" max="2055" width="4.125" style="295" customWidth="1"/>
    <col min="2056" max="2056" width="1.25" style="295" customWidth="1"/>
    <col min="2057" max="2070" width="4.125" style="295" customWidth="1"/>
    <col min="2071" max="2071" width="2.625" style="295" customWidth="1"/>
    <col min="2072" max="2303" width="3.75" style="295" customWidth="1"/>
    <col min="2304" max="2304" width="2.5" style="295" customWidth="1"/>
    <col min="2305" max="2305" width="3" style="295" customWidth="1"/>
    <col min="2306" max="2307" width="2.25" style="295" customWidth="1"/>
    <col min="2308" max="2311" width="4.125" style="295" customWidth="1"/>
    <col min="2312" max="2312" width="1.25" style="295" customWidth="1"/>
    <col min="2313" max="2326" width="4.125" style="295" customWidth="1"/>
    <col min="2327" max="2327" width="2.625" style="295" customWidth="1"/>
    <col min="2328" max="2559" width="3.75" style="295" customWidth="1"/>
    <col min="2560" max="2560" width="2.5" style="295" customWidth="1"/>
    <col min="2561" max="2561" width="3" style="295" customWidth="1"/>
    <col min="2562" max="2563" width="2.25" style="295" customWidth="1"/>
    <col min="2564" max="2567" width="4.125" style="295" customWidth="1"/>
    <col min="2568" max="2568" width="1.25" style="295" customWidth="1"/>
    <col min="2569" max="2582" width="4.125" style="295" customWidth="1"/>
    <col min="2583" max="2583" width="2.625" style="295" customWidth="1"/>
    <col min="2584" max="2815" width="3.75" style="295" customWidth="1"/>
    <col min="2816" max="2816" width="2.5" style="295" customWidth="1"/>
    <col min="2817" max="2817" width="3" style="295" customWidth="1"/>
    <col min="2818" max="2819" width="2.25" style="295" customWidth="1"/>
    <col min="2820" max="2823" width="4.125" style="295" customWidth="1"/>
    <col min="2824" max="2824" width="1.25" style="295" customWidth="1"/>
    <col min="2825" max="2838" width="4.125" style="295" customWidth="1"/>
    <col min="2839" max="2839" width="2.625" style="295" customWidth="1"/>
    <col min="2840" max="3071" width="3.75" style="295" customWidth="1"/>
    <col min="3072" max="3072" width="2.5" style="295" customWidth="1"/>
    <col min="3073" max="3073" width="3" style="295" customWidth="1"/>
    <col min="3074" max="3075" width="2.25" style="295" customWidth="1"/>
    <col min="3076" max="3079" width="4.125" style="295" customWidth="1"/>
    <col min="3080" max="3080" width="1.25" style="295" customWidth="1"/>
    <col min="3081" max="3094" width="4.125" style="295" customWidth="1"/>
    <col min="3095" max="3095" width="2.625" style="295" customWidth="1"/>
    <col min="3096" max="3327" width="3.75" style="295" customWidth="1"/>
    <col min="3328" max="3328" width="2.5" style="295" customWidth="1"/>
    <col min="3329" max="3329" width="3" style="295" customWidth="1"/>
    <col min="3330" max="3331" width="2.25" style="295" customWidth="1"/>
    <col min="3332" max="3335" width="4.125" style="295" customWidth="1"/>
    <col min="3336" max="3336" width="1.25" style="295" customWidth="1"/>
    <col min="3337" max="3350" width="4.125" style="295" customWidth="1"/>
    <col min="3351" max="3351" width="2.625" style="295" customWidth="1"/>
    <col min="3352" max="3583" width="3.75" style="295" customWidth="1"/>
    <col min="3584" max="3584" width="2.5" style="295" customWidth="1"/>
    <col min="3585" max="3585" width="3" style="295" customWidth="1"/>
    <col min="3586" max="3587" width="2.25" style="295" customWidth="1"/>
    <col min="3588" max="3591" width="4.125" style="295" customWidth="1"/>
    <col min="3592" max="3592" width="1.25" style="295" customWidth="1"/>
    <col min="3593" max="3606" width="4.125" style="295" customWidth="1"/>
    <col min="3607" max="3607" width="2.625" style="295" customWidth="1"/>
    <col min="3608" max="3839" width="3.75" style="295" customWidth="1"/>
    <col min="3840" max="3840" width="2.5" style="295" customWidth="1"/>
    <col min="3841" max="3841" width="3" style="295" customWidth="1"/>
    <col min="3842" max="3843" width="2.25" style="295" customWidth="1"/>
    <col min="3844" max="3847" width="4.125" style="295" customWidth="1"/>
    <col min="3848" max="3848" width="1.25" style="295" customWidth="1"/>
    <col min="3849" max="3862" width="4.125" style="295" customWidth="1"/>
    <col min="3863" max="3863" width="2.625" style="295" customWidth="1"/>
    <col min="3864" max="4095" width="3.75" style="295" customWidth="1"/>
    <col min="4096" max="4096" width="2.5" style="295" customWidth="1"/>
    <col min="4097" max="4097" width="3" style="295" customWidth="1"/>
    <col min="4098" max="4099" width="2.25" style="295" customWidth="1"/>
    <col min="4100" max="4103" width="4.125" style="295" customWidth="1"/>
    <col min="4104" max="4104" width="1.25" style="295" customWidth="1"/>
    <col min="4105" max="4118" width="4.125" style="295" customWidth="1"/>
    <col min="4119" max="4119" width="2.625" style="295" customWidth="1"/>
    <col min="4120" max="4351" width="3.75" style="295" customWidth="1"/>
    <col min="4352" max="4352" width="2.5" style="295" customWidth="1"/>
    <col min="4353" max="4353" width="3" style="295" customWidth="1"/>
    <col min="4354" max="4355" width="2.25" style="295" customWidth="1"/>
    <col min="4356" max="4359" width="4.125" style="295" customWidth="1"/>
    <col min="4360" max="4360" width="1.25" style="295" customWidth="1"/>
    <col min="4361" max="4374" width="4.125" style="295" customWidth="1"/>
    <col min="4375" max="4375" width="2.625" style="295" customWidth="1"/>
    <col min="4376" max="4607" width="3.75" style="295" customWidth="1"/>
    <col min="4608" max="4608" width="2.5" style="295" customWidth="1"/>
    <col min="4609" max="4609" width="3" style="295" customWidth="1"/>
    <col min="4610" max="4611" width="2.25" style="295" customWidth="1"/>
    <col min="4612" max="4615" width="4.125" style="295" customWidth="1"/>
    <col min="4616" max="4616" width="1.25" style="295" customWidth="1"/>
    <col min="4617" max="4630" width="4.125" style="295" customWidth="1"/>
    <col min="4631" max="4631" width="2.625" style="295" customWidth="1"/>
    <col min="4632" max="4863" width="3.75" style="295" customWidth="1"/>
    <col min="4864" max="4864" width="2.5" style="295" customWidth="1"/>
    <col min="4865" max="4865" width="3" style="295" customWidth="1"/>
    <col min="4866" max="4867" width="2.25" style="295" customWidth="1"/>
    <col min="4868" max="4871" width="4.125" style="295" customWidth="1"/>
    <col min="4872" max="4872" width="1.25" style="295" customWidth="1"/>
    <col min="4873" max="4886" width="4.125" style="295" customWidth="1"/>
    <col min="4887" max="4887" width="2.625" style="295" customWidth="1"/>
    <col min="4888" max="5119" width="3.75" style="295" customWidth="1"/>
    <col min="5120" max="5120" width="2.5" style="295" customWidth="1"/>
    <col min="5121" max="5121" width="3" style="295" customWidth="1"/>
    <col min="5122" max="5123" width="2.25" style="295" customWidth="1"/>
    <col min="5124" max="5127" width="4.125" style="295" customWidth="1"/>
    <col min="5128" max="5128" width="1.25" style="295" customWidth="1"/>
    <col min="5129" max="5142" width="4.125" style="295" customWidth="1"/>
    <col min="5143" max="5143" width="2.625" style="295" customWidth="1"/>
    <col min="5144" max="5375" width="3.75" style="295" customWidth="1"/>
    <col min="5376" max="5376" width="2.5" style="295" customWidth="1"/>
    <col min="5377" max="5377" width="3" style="295" customWidth="1"/>
    <col min="5378" max="5379" width="2.25" style="295" customWidth="1"/>
    <col min="5380" max="5383" width="4.125" style="295" customWidth="1"/>
    <col min="5384" max="5384" width="1.25" style="295" customWidth="1"/>
    <col min="5385" max="5398" width="4.125" style="295" customWidth="1"/>
    <col min="5399" max="5399" width="2.625" style="295" customWidth="1"/>
    <col min="5400" max="5631" width="3.75" style="295" customWidth="1"/>
    <col min="5632" max="5632" width="2.5" style="295" customWidth="1"/>
    <col min="5633" max="5633" width="3" style="295" customWidth="1"/>
    <col min="5634" max="5635" width="2.25" style="295" customWidth="1"/>
    <col min="5636" max="5639" width="4.125" style="295" customWidth="1"/>
    <col min="5640" max="5640" width="1.25" style="295" customWidth="1"/>
    <col min="5641" max="5654" width="4.125" style="295" customWidth="1"/>
    <col min="5655" max="5655" width="2.625" style="295" customWidth="1"/>
    <col min="5656" max="5887" width="3.75" style="295" customWidth="1"/>
    <col min="5888" max="5888" width="2.5" style="295" customWidth="1"/>
    <col min="5889" max="5889" width="3" style="295" customWidth="1"/>
    <col min="5890" max="5891" width="2.25" style="295" customWidth="1"/>
    <col min="5892" max="5895" width="4.125" style="295" customWidth="1"/>
    <col min="5896" max="5896" width="1.25" style="295" customWidth="1"/>
    <col min="5897" max="5910" width="4.125" style="295" customWidth="1"/>
    <col min="5911" max="5911" width="2.625" style="295" customWidth="1"/>
    <col min="5912" max="6143" width="3.75" style="295" customWidth="1"/>
    <col min="6144" max="6144" width="2.5" style="295" customWidth="1"/>
    <col min="6145" max="6145" width="3" style="295" customWidth="1"/>
    <col min="6146" max="6147" width="2.25" style="295" customWidth="1"/>
    <col min="6148" max="6151" width="4.125" style="295" customWidth="1"/>
    <col min="6152" max="6152" width="1.25" style="295" customWidth="1"/>
    <col min="6153" max="6166" width="4.125" style="295" customWidth="1"/>
    <col min="6167" max="6167" width="2.625" style="295" customWidth="1"/>
    <col min="6168" max="6399" width="3.75" style="295" customWidth="1"/>
    <col min="6400" max="6400" width="2.5" style="295" customWidth="1"/>
    <col min="6401" max="6401" width="3" style="295" customWidth="1"/>
    <col min="6402" max="6403" width="2.25" style="295" customWidth="1"/>
    <col min="6404" max="6407" width="4.125" style="295" customWidth="1"/>
    <col min="6408" max="6408" width="1.25" style="295" customWidth="1"/>
    <col min="6409" max="6422" width="4.125" style="295" customWidth="1"/>
    <col min="6423" max="6423" width="2.625" style="295" customWidth="1"/>
    <col min="6424" max="6655" width="3.75" style="295" customWidth="1"/>
    <col min="6656" max="6656" width="2.5" style="295" customWidth="1"/>
    <col min="6657" max="6657" width="3" style="295" customWidth="1"/>
    <col min="6658" max="6659" width="2.25" style="295" customWidth="1"/>
    <col min="6660" max="6663" width="4.125" style="295" customWidth="1"/>
    <col min="6664" max="6664" width="1.25" style="295" customWidth="1"/>
    <col min="6665" max="6678" width="4.125" style="295" customWidth="1"/>
    <col min="6679" max="6679" width="2.625" style="295" customWidth="1"/>
    <col min="6680" max="6911" width="3.75" style="295" customWidth="1"/>
    <col min="6912" max="6912" width="2.5" style="295" customWidth="1"/>
    <col min="6913" max="6913" width="3" style="295" customWidth="1"/>
    <col min="6914" max="6915" width="2.25" style="295" customWidth="1"/>
    <col min="6916" max="6919" width="4.125" style="295" customWidth="1"/>
    <col min="6920" max="6920" width="1.25" style="295" customWidth="1"/>
    <col min="6921" max="6934" width="4.125" style="295" customWidth="1"/>
    <col min="6935" max="6935" width="2.625" style="295" customWidth="1"/>
    <col min="6936" max="7167" width="3.75" style="295" customWidth="1"/>
    <col min="7168" max="7168" width="2.5" style="295" customWidth="1"/>
    <col min="7169" max="7169" width="3" style="295" customWidth="1"/>
    <col min="7170" max="7171" width="2.25" style="295" customWidth="1"/>
    <col min="7172" max="7175" width="4.125" style="295" customWidth="1"/>
    <col min="7176" max="7176" width="1.25" style="295" customWidth="1"/>
    <col min="7177" max="7190" width="4.125" style="295" customWidth="1"/>
    <col min="7191" max="7191" width="2.625" style="295" customWidth="1"/>
    <col min="7192" max="7423" width="3.75" style="295" customWidth="1"/>
    <col min="7424" max="7424" width="2.5" style="295" customWidth="1"/>
    <col min="7425" max="7425" width="3" style="295" customWidth="1"/>
    <col min="7426" max="7427" width="2.25" style="295" customWidth="1"/>
    <col min="7428" max="7431" width="4.125" style="295" customWidth="1"/>
    <col min="7432" max="7432" width="1.25" style="295" customWidth="1"/>
    <col min="7433" max="7446" width="4.125" style="295" customWidth="1"/>
    <col min="7447" max="7447" width="2.625" style="295" customWidth="1"/>
    <col min="7448" max="7679" width="3.75" style="295" customWidth="1"/>
    <col min="7680" max="7680" width="2.5" style="295" customWidth="1"/>
    <col min="7681" max="7681" width="3" style="295" customWidth="1"/>
    <col min="7682" max="7683" width="2.25" style="295" customWidth="1"/>
    <col min="7684" max="7687" width="4.125" style="295" customWidth="1"/>
    <col min="7688" max="7688" width="1.25" style="295" customWidth="1"/>
    <col min="7689" max="7702" width="4.125" style="295" customWidth="1"/>
    <col min="7703" max="7703" width="2.625" style="295" customWidth="1"/>
    <col min="7704" max="7935" width="3.75" style="295" customWidth="1"/>
    <col min="7936" max="7936" width="2.5" style="295" customWidth="1"/>
    <col min="7937" max="7937" width="3" style="295" customWidth="1"/>
    <col min="7938" max="7939" width="2.25" style="295" customWidth="1"/>
    <col min="7940" max="7943" width="4.125" style="295" customWidth="1"/>
    <col min="7944" max="7944" width="1.25" style="295" customWidth="1"/>
    <col min="7945" max="7958" width="4.125" style="295" customWidth="1"/>
    <col min="7959" max="7959" width="2.625" style="295" customWidth="1"/>
    <col min="7960" max="8191" width="3.75" style="295" customWidth="1"/>
    <col min="8192" max="8192" width="2.5" style="295" customWidth="1"/>
    <col min="8193" max="8193" width="3" style="295" customWidth="1"/>
    <col min="8194" max="8195" width="2.25" style="295" customWidth="1"/>
    <col min="8196" max="8199" width="4.125" style="295" customWidth="1"/>
    <col min="8200" max="8200" width="1.25" style="295" customWidth="1"/>
    <col min="8201" max="8214" width="4.125" style="295" customWidth="1"/>
    <col min="8215" max="8215" width="2.625" style="295" customWidth="1"/>
    <col min="8216" max="8447" width="3.75" style="295" customWidth="1"/>
    <col min="8448" max="8448" width="2.5" style="295" customWidth="1"/>
    <col min="8449" max="8449" width="3" style="295" customWidth="1"/>
    <col min="8450" max="8451" width="2.25" style="295" customWidth="1"/>
    <col min="8452" max="8455" width="4.125" style="295" customWidth="1"/>
    <col min="8456" max="8456" width="1.25" style="295" customWidth="1"/>
    <col min="8457" max="8470" width="4.125" style="295" customWidth="1"/>
    <col min="8471" max="8471" width="2.625" style="295" customWidth="1"/>
    <col min="8472" max="8703" width="3.75" style="295" customWidth="1"/>
    <col min="8704" max="8704" width="2.5" style="295" customWidth="1"/>
    <col min="8705" max="8705" width="3" style="295" customWidth="1"/>
    <col min="8706" max="8707" width="2.25" style="295" customWidth="1"/>
    <col min="8708" max="8711" width="4.125" style="295" customWidth="1"/>
    <col min="8712" max="8712" width="1.25" style="295" customWidth="1"/>
    <col min="8713" max="8726" width="4.125" style="295" customWidth="1"/>
    <col min="8727" max="8727" width="2.625" style="295" customWidth="1"/>
    <col min="8728" max="8959" width="3.75" style="295" customWidth="1"/>
    <col min="8960" max="8960" width="2.5" style="295" customWidth="1"/>
    <col min="8961" max="8961" width="3" style="295" customWidth="1"/>
    <col min="8962" max="8963" width="2.25" style="295" customWidth="1"/>
    <col min="8964" max="8967" width="4.125" style="295" customWidth="1"/>
    <col min="8968" max="8968" width="1.25" style="295" customWidth="1"/>
    <col min="8969" max="8982" width="4.125" style="295" customWidth="1"/>
    <col min="8983" max="8983" width="2.625" style="295" customWidth="1"/>
    <col min="8984" max="9215" width="3.75" style="295" customWidth="1"/>
    <col min="9216" max="9216" width="2.5" style="295" customWidth="1"/>
    <col min="9217" max="9217" width="3" style="295" customWidth="1"/>
    <col min="9218" max="9219" width="2.25" style="295" customWidth="1"/>
    <col min="9220" max="9223" width="4.125" style="295" customWidth="1"/>
    <col min="9224" max="9224" width="1.25" style="295" customWidth="1"/>
    <col min="9225" max="9238" width="4.125" style="295" customWidth="1"/>
    <col min="9239" max="9239" width="2.625" style="295" customWidth="1"/>
    <col min="9240" max="9471" width="3.75" style="295" customWidth="1"/>
    <col min="9472" max="9472" width="2.5" style="295" customWidth="1"/>
    <col min="9473" max="9473" width="3" style="295" customWidth="1"/>
    <col min="9474" max="9475" width="2.25" style="295" customWidth="1"/>
    <col min="9476" max="9479" width="4.125" style="295" customWidth="1"/>
    <col min="9480" max="9480" width="1.25" style="295" customWidth="1"/>
    <col min="9481" max="9494" width="4.125" style="295" customWidth="1"/>
    <col min="9495" max="9495" width="2.625" style="295" customWidth="1"/>
    <col min="9496" max="9727" width="3.75" style="295" customWidth="1"/>
    <col min="9728" max="9728" width="2.5" style="295" customWidth="1"/>
    <col min="9729" max="9729" width="3" style="295" customWidth="1"/>
    <col min="9730" max="9731" width="2.25" style="295" customWidth="1"/>
    <col min="9732" max="9735" width="4.125" style="295" customWidth="1"/>
    <col min="9736" max="9736" width="1.25" style="295" customWidth="1"/>
    <col min="9737" max="9750" width="4.125" style="295" customWidth="1"/>
    <col min="9751" max="9751" width="2.625" style="295" customWidth="1"/>
    <col min="9752" max="9983" width="3.75" style="295" customWidth="1"/>
    <col min="9984" max="9984" width="2.5" style="295" customWidth="1"/>
    <col min="9985" max="9985" width="3" style="295" customWidth="1"/>
    <col min="9986" max="9987" width="2.25" style="295" customWidth="1"/>
    <col min="9988" max="9991" width="4.125" style="295" customWidth="1"/>
    <col min="9992" max="9992" width="1.25" style="295" customWidth="1"/>
    <col min="9993" max="10006" width="4.125" style="295" customWidth="1"/>
    <col min="10007" max="10007" width="2.625" style="295" customWidth="1"/>
    <col min="10008" max="10239" width="3.75" style="295" customWidth="1"/>
    <col min="10240" max="10240" width="2.5" style="295" customWidth="1"/>
    <col min="10241" max="10241" width="3" style="295" customWidth="1"/>
    <col min="10242" max="10243" width="2.25" style="295" customWidth="1"/>
    <col min="10244" max="10247" width="4.125" style="295" customWidth="1"/>
    <col min="10248" max="10248" width="1.25" style="295" customWidth="1"/>
    <col min="10249" max="10262" width="4.125" style="295" customWidth="1"/>
    <col min="10263" max="10263" width="2.625" style="295" customWidth="1"/>
    <col min="10264" max="10495" width="3.75" style="295" customWidth="1"/>
    <col min="10496" max="10496" width="2.5" style="295" customWidth="1"/>
    <col min="10497" max="10497" width="3" style="295" customWidth="1"/>
    <col min="10498" max="10499" width="2.25" style="295" customWidth="1"/>
    <col min="10500" max="10503" width="4.125" style="295" customWidth="1"/>
    <col min="10504" max="10504" width="1.25" style="295" customWidth="1"/>
    <col min="10505" max="10518" width="4.125" style="295" customWidth="1"/>
    <col min="10519" max="10519" width="2.625" style="295" customWidth="1"/>
    <col min="10520" max="10751" width="3.75" style="295" customWidth="1"/>
    <col min="10752" max="10752" width="2.5" style="295" customWidth="1"/>
    <col min="10753" max="10753" width="3" style="295" customWidth="1"/>
    <col min="10754" max="10755" width="2.25" style="295" customWidth="1"/>
    <col min="10756" max="10759" width="4.125" style="295" customWidth="1"/>
    <col min="10760" max="10760" width="1.25" style="295" customWidth="1"/>
    <col min="10761" max="10774" width="4.125" style="295" customWidth="1"/>
    <col min="10775" max="10775" width="2.625" style="295" customWidth="1"/>
    <col min="10776" max="11007" width="3.75" style="295" customWidth="1"/>
    <col min="11008" max="11008" width="2.5" style="295" customWidth="1"/>
    <col min="11009" max="11009" width="3" style="295" customWidth="1"/>
    <col min="11010" max="11011" width="2.25" style="295" customWidth="1"/>
    <col min="11012" max="11015" width="4.125" style="295" customWidth="1"/>
    <col min="11016" max="11016" width="1.25" style="295" customWidth="1"/>
    <col min="11017" max="11030" width="4.125" style="295" customWidth="1"/>
    <col min="11031" max="11031" width="2.625" style="295" customWidth="1"/>
    <col min="11032" max="11263" width="3.75" style="295" customWidth="1"/>
    <col min="11264" max="11264" width="2.5" style="295" customWidth="1"/>
    <col min="11265" max="11265" width="3" style="295" customWidth="1"/>
    <col min="11266" max="11267" width="2.25" style="295" customWidth="1"/>
    <col min="11268" max="11271" width="4.125" style="295" customWidth="1"/>
    <col min="11272" max="11272" width="1.25" style="295" customWidth="1"/>
    <col min="11273" max="11286" width="4.125" style="295" customWidth="1"/>
    <col min="11287" max="11287" width="2.625" style="295" customWidth="1"/>
    <col min="11288" max="11519" width="3.75" style="295" customWidth="1"/>
    <col min="11520" max="11520" width="2.5" style="295" customWidth="1"/>
    <col min="11521" max="11521" width="3" style="295" customWidth="1"/>
    <col min="11522" max="11523" width="2.25" style="295" customWidth="1"/>
    <col min="11524" max="11527" width="4.125" style="295" customWidth="1"/>
    <col min="11528" max="11528" width="1.25" style="295" customWidth="1"/>
    <col min="11529" max="11542" width="4.125" style="295" customWidth="1"/>
    <col min="11543" max="11543" width="2.625" style="295" customWidth="1"/>
    <col min="11544" max="11775" width="3.75" style="295" customWidth="1"/>
    <col min="11776" max="11776" width="2.5" style="295" customWidth="1"/>
    <col min="11777" max="11777" width="3" style="295" customWidth="1"/>
    <col min="11778" max="11779" width="2.25" style="295" customWidth="1"/>
    <col min="11780" max="11783" width="4.125" style="295" customWidth="1"/>
    <col min="11784" max="11784" width="1.25" style="295" customWidth="1"/>
    <col min="11785" max="11798" width="4.125" style="295" customWidth="1"/>
    <col min="11799" max="11799" width="2.625" style="295" customWidth="1"/>
    <col min="11800" max="12031" width="3.75" style="295" customWidth="1"/>
    <col min="12032" max="12032" width="2.5" style="295" customWidth="1"/>
    <col min="12033" max="12033" width="3" style="295" customWidth="1"/>
    <col min="12034" max="12035" width="2.25" style="295" customWidth="1"/>
    <col min="12036" max="12039" width="4.125" style="295" customWidth="1"/>
    <col min="12040" max="12040" width="1.25" style="295" customWidth="1"/>
    <col min="12041" max="12054" width="4.125" style="295" customWidth="1"/>
    <col min="12055" max="12055" width="2.625" style="295" customWidth="1"/>
    <col min="12056" max="12287" width="3.75" style="295" customWidth="1"/>
    <col min="12288" max="12288" width="2.5" style="295" customWidth="1"/>
    <col min="12289" max="12289" width="3" style="295" customWidth="1"/>
    <col min="12290" max="12291" width="2.25" style="295" customWidth="1"/>
    <col min="12292" max="12295" width="4.125" style="295" customWidth="1"/>
    <col min="12296" max="12296" width="1.25" style="295" customWidth="1"/>
    <col min="12297" max="12310" width="4.125" style="295" customWidth="1"/>
    <col min="12311" max="12311" width="2.625" style="295" customWidth="1"/>
    <col min="12312" max="12543" width="3.75" style="295" customWidth="1"/>
    <col min="12544" max="12544" width="2.5" style="295" customWidth="1"/>
    <col min="12545" max="12545" width="3" style="295" customWidth="1"/>
    <col min="12546" max="12547" width="2.25" style="295" customWidth="1"/>
    <col min="12548" max="12551" width="4.125" style="295" customWidth="1"/>
    <col min="12552" max="12552" width="1.25" style="295" customWidth="1"/>
    <col min="12553" max="12566" width="4.125" style="295" customWidth="1"/>
    <col min="12567" max="12567" width="2.625" style="295" customWidth="1"/>
    <col min="12568" max="12799" width="3.75" style="295" customWidth="1"/>
    <col min="12800" max="12800" width="2.5" style="295" customWidth="1"/>
    <col min="12801" max="12801" width="3" style="295" customWidth="1"/>
    <col min="12802" max="12803" width="2.25" style="295" customWidth="1"/>
    <col min="12804" max="12807" width="4.125" style="295" customWidth="1"/>
    <col min="12808" max="12808" width="1.25" style="295" customWidth="1"/>
    <col min="12809" max="12822" width="4.125" style="295" customWidth="1"/>
    <col min="12823" max="12823" width="2.625" style="295" customWidth="1"/>
    <col min="12824" max="13055" width="3.75" style="295" customWidth="1"/>
    <col min="13056" max="13056" width="2.5" style="295" customWidth="1"/>
    <col min="13057" max="13057" width="3" style="295" customWidth="1"/>
    <col min="13058" max="13059" width="2.25" style="295" customWidth="1"/>
    <col min="13060" max="13063" width="4.125" style="295" customWidth="1"/>
    <col min="13064" max="13064" width="1.25" style="295" customWidth="1"/>
    <col min="13065" max="13078" width="4.125" style="295" customWidth="1"/>
    <col min="13079" max="13079" width="2.625" style="295" customWidth="1"/>
    <col min="13080" max="13311" width="3.75" style="295" customWidth="1"/>
    <col min="13312" max="13312" width="2.5" style="295" customWidth="1"/>
    <col min="13313" max="13313" width="3" style="295" customWidth="1"/>
    <col min="13314" max="13315" width="2.25" style="295" customWidth="1"/>
    <col min="13316" max="13319" width="4.125" style="295" customWidth="1"/>
    <col min="13320" max="13320" width="1.25" style="295" customWidth="1"/>
    <col min="13321" max="13334" width="4.125" style="295" customWidth="1"/>
    <col min="13335" max="13335" width="2.625" style="295" customWidth="1"/>
    <col min="13336" max="13567" width="3.75" style="295" customWidth="1"/>
    <col min="13568" max="13568" width="2.5" style="295" customWidth="1"/>
    <col min="13569" max="13569" width="3" style="295" customWidth="1"/>
    <col min="13570" max="13571" width="2.25" style="295" customWidth="1"/>
    <col min="13572" max="13575" width="4.125" style="295" customWidth="1"/>
    <col min="13576" max="13576" width="1.25" style="295" customWidth="1"/>
    <col min="13577" max="13590" width="4.125" style="295" customWidth="1"/>
    <col min="13591" max="13591" width="2.625" style="295" customWidth="1"/>
    <col min="13592" max="13823" width="3.75" style="295" customWidth="1"/>
    <col min="13824" max="13824" width="2.5" style="295" customWidth="1"/>
    <col min="13825" max="13825" width="3" style="295" customWidth="1"/>
    <col min="13826" max="13827" width="2.25" style="295" customWidth="1"/>
    <col min="13828" max="13831" width="4.125" style="295" customWidth="1"/>
    <col min="13832" max="13832" width="1.25" style="295" customWidth="1"/>
    <col min="13833" max="13846" width="4.125" style="295" customWidth="1"/>
    <col min="13847" max="13847" width="2.625" style="295" customWidth="1"/>
    <col min="13848" max="14079" width="3.75" style="295" customWidth="1"/>
    <col min="14080" max="14080" width="2.5" style="295" customWidth="1"/>
    <col min="14081" max="14081" width="3" style="295" customWidth="1"/>
    <col min="14082" max="14083" width="2.25" style="295" customWidth="1"/>
    <col min="14084" max="14087" width="4.125" style="295" customWidth="1"/>
    <col min="14088" max="14088" width="1.25" style="295" customWidth="1"/>
    <col min="14089" max="14102" width="4.125" style="295" customWidth="1"/>
    <col min="14103" max="14103" width="2.625" style="295" customWidth="1"/>
    <col min="14104" max="14335" width="3.75" style="295" customWidth="1"/>
    <col min="14336" max="14336" width="2.5" style="295" customWidth="1"/>
    <col min="14337" max="14337" width="3" style="295" customWidth="1"/>
    <col min="14338" max="14339" width="2.25" style="295" customWidth="1"/>
    <col min="14340" max="14343" width="4.125" style="295" customWidth="1"/>
    <col min="14344" max="14344" width="1.25" style="295" customWidth="1"/>
    <col min="14345" max="14358" width="4.125" style="295" customWidth="1"/>
    <col min="14359" max="14359" width="2.625" style="295" customWidth="1"/>
    <col min="14360" max="14591" width="3.75" style="295" customWidth="1"/>
    <col min="14592" max="14592" width="2.5" style="295" customWidth="1"/>
    <col min="14593" max="14593" width="3" style="295" customWidth="1"/>
    <col min="14594" max="14595" width="2.25" style="295" customWidth="1"/>
    <col min="14596" max="14599" width="4.125" style="295" customWidth="1"/>
    <col min="14600" max="14600" width="1.25" style="295" customWidth="1"/>
    <col min="14601" max="14614" width="4.125" style="295" customWidth="1"/>
    <col min="14615" max="14615" width="2.625" style="295" customWidth="1"/>
    <col min="14616" max="14847" width="3.75" style="295" customWidth="1"/>
    <col min="14848" max="14848" width="2.5" style="295" customWidth="1"/>
    <col min="14849" max="14849" width="3" style="295" customWidth="1"/>
    <col min="14850" max="14851" width="2.25" style="295" customWidth="1"/>
    <col min="14852" max="14855" width="4.125" style="295" customWidth="1"/>
    <col min="14856" max="14856" width="1.25" style="295" customWidth="1"/>
    <col min="14857" max="14870" width="4.125" style="295" customWidth="1"/>
    <col min="14871" max="14871" width="2.625" style="295" customWidth="1"/>
    <col min="14872" max="15103" width="3.75" style="295" customWidth="1"/>
    <col min="15104" max="15104" width="2.5" style="295" customWidth="1"/>
    <col min="15105" max="15105" width="3" style="295" customWidth="1"/>
    <col min="15106" max="15107" width="2.25" style="295" customWidth="1"/>
    <col min="15108" max="15111" width="4.125" style="295" customWidth="1"/>
    <col min="15112" max="15112" width="1.25" style="295" customWidth="1"/>
    <col min="15113" max="15126" width="4.125" style="295" customWidth="1"/>
    <col min="15127" max="15127" width="2.625" style="295" customWidth="1"/>
    <col min="15128" max="15359" width="3.75" style="295" customWidth="1"/>
    <col min="15360" max="15360" width="2.5" style="295" customWidth="1"/>
    <col min="15361" max="15361" width="3" style="295" customWidth="1"/>
    <col min="15362" max="15363" width="2.25" style="295" customWidth="1"/>
    <col min="15364" max="15367" width="4.125" style="295" customWidth="1"/>
    <col min="15368" max="15368" width="1.25" style="295" customWidth="1"/>
    <col min="15369" max="15382" width="4.125" style="295" customWidth="1"/>
    <col min="15383" max="15383" width="2.625" style="295" customWidth="1"/>
    <col min="15384" max="15615" width="3.75" style="295" customWidth="1"/>
    <col min="15616" max="15616" width="2.5" style="295" customWidth="1"/>
    <col min="15617" max="15617" width="3" style="295" customWidth="1"/>
    <col min="15618" max="15619" width="2.25" style="295" customWidth="1"/>
    <col min="15620" max="15623" width="4.125" style="295" customWidth="1"/>
    <col min="15624" max="15624" width="1.25" style="295" customWidth="1"/>
    <col min="15625" max="15638" width="4.125" style="295" customWidth="1"/>
    <col min="15639" max="15639" width="2.625" style="295" customWidth="1"/>
    <col min="15640" max="15871" width="3.75" style="295" customWidth="1"/>
    <col min="15872" max="15872" width="2.5" style="295" customWidth="1"/>
    <col min="15873" max="15873" width="3" style="295" customWidth="1"/>
    <col min="15874" max="15875" width="2.25" style="295" customWidth="1"/>
    <col min="15876" max="15879" width="4.125" style="295" customWidth="1"/>
    <col min="15880" max="15880" width="1.25" style="295" customWidth="1"/>
    <col min="15881" max="15894" width="4.125" style="295" customWidth="1"/>
    <col min="15895" max="15895" width="2.625" style="295" customWidth="1"/>
    <col min="15896" max="16127" width="3.75" style="295" customWidth="1"/>
    <col min="16128" max="16128" width="2.5" style="295" customWidth="1"/>
    <col min="16129" max="16129" width="3" style="295" customWidth="1"/>
    <col min="16130" max="16131" width="2.25" style="295" customWidth="1"/>
    <col min="16132" max="16135" width="4.125" style="295" customWidth="1"/>
    <col min="16136" max="16136" width="1.25" style="295" customWidth="1"/>
    <col min="16137" max="16150" width="4.125" style="295" customWidth="1"/>
    <col min="16151" max="16151" width="2.625" style="295" customWidth="1"/>
    <col min="16152" max="16384" width="3.75" style="295" customWidth="1"/>
  </cols>
  <sheetData>
    <row r="1" spans="1:23" ht="17.25" customHeight="1">
      <c r="A1" s="298" t="s">
        <v>3190</v>
      </c>
    </row>
    <row r="2" spans="1:23" ht="17.25" customHeight="1">
      <c r="A2" s="813" t="s">
        <v>3189</v>
      </c>
      <c r="B2" s="813"/>
      <c r="C2" s="813"/>
      <c r="D2" s="813"/>
      <c r="E2" s="813"/>
      <c r="F2" s="813"/>
      <c r="G2" s="813"/>
      <c r="H2" s="813"/>
      <c r="I2" s="813"/>
      <c r="J2" s="813"/>
      <c r="K2" s="813"/>
      <c r="L2" s="813"/>
      <c r="M2" s="813"/>
      <c r="N2" s="813"/>
      <c r="O2" s="813"/>
      <c r="P2" s="813"/>
      <c r="Q2" s="813"/>
      <c r="R2" s="813"/>
      <c r="S2" s="813"/>
      <c r="T2" s="813"/>
      <c r="U2" s="813"/>
      <c r="V2" s="813"/>
      <c r="W2" s="813"/>
    </row>
    <row r="3" spans="1:23" ht="19.5" customHeight="1"/>
    <row r="4" spans="1:23" ht="17.25" customHeight="1">
      <c r="P4" s="451"/>
      <c r="Q4" s="817"/>
      <c r="R4" s="817"/>
      <c r="S4" s="451" t="s">
        <v>464</v>
      </c>
      <c r="T4" s="464"/>
      <c r="U4" s="451" t="s">
        <v>1</v>
      </c>
      <c r="V4" s="464"/>
      <c r="W4" s="451" t="s">
        <v>465</v>
      </c>
    </row>
    <row r="5" spans="1:23" ht="20.25" customHeight="1"/>
    <row r="6" spans="1:23" ht="17.25" customHeight="1">
      <c r="C6" s="295" t="str">
        <f ca="1">cst_Pre_Corp__SHINSEI</f>
        <v>一般財団法人静岡県建築住宅まちづくりセンター</v>
      </c>
    </row>
    <row r="7" spans="1:23" ht="17.25" customHeight="1">
      <c r="C7" s="295" t="str">
        <f ca="1">cst_Pre_Daihyou__SHINSEI</f>
        <v>理事長 　柳　敏幸</v>
      </c>
      <c r="I7" s="295" t="s">
        <v>2796</v>
      </c>
    </row>
    <row r="8" spans="1:23" ht="9" customHeight="1"/>
    <row r="9" spans="1:23" ht="17.25" customHeight="1">
      <c r="O9" s="294" t="s">
        <v>3041</v>
      </c>
      <c r="P9" s="785" t="str">
        <f>cst_wssonota_owner1__address</f>
        <v/>
      </c>
      <c r="Q9" s="785"/>
      <c r="R9" s="785"/>
      <c r="S9" s="785"/>
      <c r="T9" s="785"/>
      <c r="U9" s="785"/>
      <c r="V9" s="785"/>
      <c r="W9" s="785"/>
    </row>
    <row r="10" spans="1:23" ht="17.25" customHeight="1">
      <c r="M10" s="295" t="s">
        <v>2832</v>
      </c>
      <c r="P10" s="785"/>
      <c r="Q10" s="785"/>
      <c r="R10" s="785"/>
      <c r="S10" s="785"/>
      <c r="T10" s="785"/>
      <c r="U10" s="785"/>
      <c r="V10" s="785"/>
      <c r="W10" s="785"/>
    </row>
    <row r="11" spans="1:23" ht="17.25" customHeight="1">
      <c r="O11" s="294" t="s">
        <v>3042</v>
      </c>
      <c r="P11" s="785" t="str">
        <f>cst_wssonota_owner1__space</f>
        <v/>
      </c>
      <c r="Q11" s="785"/>
      <c r="R11" s="785"/>
      <c r="S11" s="785"/>
      <c r="T11" s="785"/>
      <c r="U11" s="785"/>
      <c r="V11" s="785"/>
      <c r="W11" s="785"/>
    </row>
    <row r="12" spans="1:23" ht="22.5" customHeight="1">
      <c r="P12" s="785"/>
      <c r="Q12" s="785"/>
      <c r="R12" s="785"/>
      <c r="S12" s="785"/>
      <c r="T12" s="785"/>
      <c r="U12" s="785"/>
      <c r="V12" s="785"/>
      <c r="W12" s="785"/>
    </row>
    <row r="13" spans="1:23" ht="17.25" customHeight="1">
      <c r="B13" s="817"/>
      <c r="C13" s="817"/>
      <c r="D13" s="295" t="s">
        <v>464</v>
      </c>
      <c r="E13" s="464"/>
      <c r="F13" s="295" t="s">
        <v>1</v>
      </c>
      <c r="G13" s="464"/>
      <c r="H13" s="295" t="s">
        <v>465</v>
      </c>
      <c r="I13" s="295" t="s">
        <v>3194</v>
      </c>
    </row>
    <row r="14" spans="1:23" ht="17.25" customHeight="1">
      <c r="B14" s="295" t="s">
        <v>3195</v>
      </c>
    </row>
    <row r="15" spans="1:23" ht="21.75" customHeight="1"/>
    <row r="16" spans="1:23" ht="39.75" customHeight="1">
      <c r="B16" s="299">
        <v>1</v>
      </c>
      <c r="C16" s="809" t="s">
        <v>2834</v>
      </c>
      <c r="D16" s="809"/>
      <c r="E16" s="809"/>
      <c r="F16" s="809"/>
      <c r="G16" s="809"/>
      <c r="H16" s="809"/>
      <c r="I16" s="814" t="str">
        <f>cst_wssonota_owner1__space</f>
        <v/>
      </c>
      <c r="J16" s="815"/>
      <c r="K16" s="815"/>
      <c r="L16" s="815"/>
      <c r="M16" s="815"/>
      <c r="N16" s="815"/>
      <c r="O16" s="815"/>
      <c r="P16" s="815"/>
      <c r="Q16" s="815"/>
      <c r="R16" s="815"/>
      <c r="S16" s="815"/>
      <c r="T16" s="815"/>
      <c r="U16" s="815"/>
      <c r="V16" s="816"/>
    </row>
    <row r="17" spans="1:23" ht="39.75" customHeight="1">
      <c r="B17" s="301">
        <v>2</v>
      </c>
      <c r="C17" s="809" t="s">
        <v>20</v>
      </c>
      <c r="D17" s="809"/>
      <c r="E17" s="809"/>
      <c r="F17" s="809"/>
      <c r="G17" s="809"/>
      <c r="H17" s="809"/>
      <c r="I17" s="832" t="s">
        <v>3197</v>
      </c>
      <c r="J17" s="833"/>
      <c r="K17" s="833"/>
      <c r="L17" s="833"/>
      <c r="M17" s="833"/>
      <c r="N17" s="833"/>
      <c r="O17" s="833"/>
      <c r="P17" s="833"/>
      <c r="Q17" s="833"/>
      <c r="R17" s="833"/>
      <c r="S17" s="833"/>
      <c r="T17" s="833"/>
      <c r="U17" s="833"/>
      <c r="V17" s="834"/>
    </row>
    <row r="18" spans="1:23" ht="39.75" customHeight="1">
      <c r="B18" s="301">
        <v>3</v>
      </c>
      <c r="C18" s="809" t="s">
        <v>21</v>
      </c>
      <c r="D18" s="809"/>
      <c r="E18" s="809"/>
      <c r="F18" s="809"/>
      <c r="G18" s="809"/>
      <c r="H18" s="809"/>
      <c r="I18" s="835"/>
      <c r="J18" s="836"/>
      <c r="K18" s="483" t="s">
        <v>464</v>
      </c>
      <c r="L18" s="484"/>
      <c r="M18" s="483" t="s">
        <v>1</v>
      </c>
      <c r="N18" s="484"/>
      <c r="O18" s="483" t="s">
        <v>465</v>
      </c>
      <c r="P18" s="458"/>
      <c r="Q18" s="458"/>
      <c r="R18" s="458"/>
      <c r="S18" s="458"/>
      <c r="T18" s="458"/>
      <c r="U18" s="458"/>
      <c r="V18" s="459"/>
    </row>
    <row r="19" spans="1:23" ht="57" customHeight="1">
      <c r="B19" s="301">
        <v>4</v>
      </c>
      <c r="C19" s="809" t="s">
        <v>3196</v>
      </c>
      <c r="D19" s="809"/>
      <c r="E19" s="809"/>
      <c r="F19" s="809"/>
      <c r="G19" s="809"/>
      <c r="H19" s="809"/>
      <c r="I19" s="814" t="str">
        <f>cst_wsjob__address</f>
        <v>静岡県静岡市葵区平和二丁目215-8</v>
      </c>
      <c r="J19" s="815"/>
      <c r="K19" s="815"/>
      <c r="L19" s="815"/>
      <c r="M19" s="815"/>
      <c r="N19" s="815"/>
      <c r="O19" s="815"/>
      <c r="P19" s="815"/>
      <c r="Q19" s="815"/>
      <c r="R19" s="815"/>
      <c r="S19" s="815"/>
      <c r="T19" s="815"/>
      <c r="U19" s="815"/>
      <c r="V19" s="816"/>
    </row>
    <row r="20" spans="1:23" ht="91.5" customHeight="1" thickBot="1">
      <c r="B20" s="299">
        <v>5</v>
      </c>
      <c r="C20" s="824" t="s">
        <v>2838</v>
      </c>
      <c r="D20" s="824"/>
      <c r="E20" s="824"/>
      <c r="F20" s="824"/>
      <c r="G20" s="824"/>
      <c r="H20" s="824"/>
      <c r="I20" s="825"/>
      <c r="J20" s="826"/>
      <c r="K20" s="826"/>
      <c r="L20" s="826"/>
      <c r="M20" s="826"/>
      <c r="N20" s="826"/>
      <c r="O20" s="826"/>
      <c r="P20" s="826"/>
      <c r="Q20" s="826"/>
      <c r="R20" s="826"/>
      <c r="S20" s="826"/>
      <c r="T20" s="826"/>
      <c r="U20" s="826"/>
      <c r="V20" s="827"/>
    </row>
    <row r="21" spans="1:23" ht="120" customHeight="1" thickTop="1">
      <c r="B21" s="819" t="s">
        <v>2839</v>
      </c>
      <c r="C21" s="820"/>
      <c r="D21" s="821"/>
      <c r="E21" s="822"/>
      <c r="F21" s="822"/>
      <c r="G21" s="822"/>
      <c r="H21" s="822"/>
      <c r="I21" s="822"/>
      <c r="J21" s="822"/>
      <c r="K21" s="822"/>
      <c r="L21" s="823"/>
      <c r="M21" s="304" t="s">
        <v>2805</v>
      </c>
      <c r="N21" s="821"/>
      <c r="O21" s="822"/>
      <c r="P21" s="822"/>
      <c r="Q21" s="823"/>
      <c r="R21" s="304" t="s">
        <v>2806</v>
      </c>
      <c r="S21" s="821"/>
      <c r="T21" s="822"/>
      <c r="U21" s="822"/>
      <c r="V21" s="823"/>
    </row>
    <row r="22" spans="1:23" ht="19.5" customHeight="1"/>
    <row r="23" spans="1:23" ht="20.25" customHeight="1">
      <c r="A23" s="295" t="s">
        <v>484</v>
      </c>
      <c r="C23" s="830" t="s">
        <v>3186</v>
      </c>
      <c r="D23" s="830"/>
      <c r="E23" s="830"/>
      <c r="F23" s="830"/>
      <c r="G23" s="830"/>
      <c r="H23" s="830"/>
      <c r="I23" s="830"/>
      <c r="J23" s="830"/>
      <c r="K23" s="830"/>
      <c r="L23" s="830"/>
      <c r="M23" s="830"/>
      <c r="N23" s="830"/>
      <c r="O23" s="830"/>
      <c r="P23" s="830"/>
      <c r="Q23" s="830"/>
      <c r="R23" s="830"/>
      <c r="S23" s="830"/>
      <c r="T23" s="830"/>
      <c r="U23" s="830"/>
      <c r="V23" s="830"/>
      <c r="W23" s="830"/>
    </row>
    <row r="24" spans="1:23" ht="20.25" customHeight="1">
      <c r="C24" s="830" t="s">
        <v>3188</v>
      </c>
      <c r="D24" s="830"/>
      <c r="E24" s="830"/>
      <c r="F24" s="830"/>
      <c r="G24" s="830"/>
      <c r="H24" s="830"/>
      <c r="I24" s="830"/>
      <c r="J24" s="830"/>
      <c r="K24" s="830"/>
      <c r="L24" s="830"/>
      <c r="M24" s="830"/>
      <c r="N24" s="830"/>
      <c r="O24" s="830"/>
      <c r="P24" s="830"/>
      <c r="Q24" s="830"/>
      <c r="R24" s="830"/>
      <c r="S24" s="830"/>
      <c r="T24" s="830"/>
      <c r="U24" s="830"/>
      <c r="V24" s="830"/>
      <c r="W24" s="830"/>
    </row>
    <row r="25" spans="1:23" ht="20.25" customHeight="1">
      <c r="C25" s="295" t="s">
        <v>3187</v>
      </c>
    </row>
    <row r="26" spans="1:23" ht="20.25" customHeight="1"/>
    <row r="29" spans="1:23" ht="17.25" customHeight="1">
      <c r="A29" s="603"/>
      <c r="B29" s="603"/>
      <c r="C29" s="603"/>
      <c r="D29" s="603"/>
      <c r="E29" s="603"/>
      <c r="F29" s="603"/>
      <c r="G29" s="603"/>
      <c r="H29" s="603"/>
      <c r="I29" s="603"/>
      <c r="J29" s="603"/>
      <c r="K29" s="603"/>
      <c r="L29" s="603"/>
      <c r="M29" s="603"/>
      <c r="N29" s="603"/>
      <c r="O29" s="603"/>
      <c r="P29" s="603"/>
      <c r="Q29" s="603"/>
      <c r="R29" s="603"/>
      <c r="S29" s="603"/>
      <c r="T29" s="603"/>
      <c r="U29" s="603"/>
      <c r="V29" s="603"/>
      <c r="W29" s="603"/>
    </row>
  </sheetData>
  <mergeCells count="22">
    <mergeCell ref="A29:W29"/>
    <mergeCell ref="C16:H16"/>
    <mergeCell ref="I16:V16"/>
    <mergeCell ref="A2:W2"/>
    <mergeCell ref="Q4:R4"/>
    <mergeCell ref="P9:W10"/>
    <mergeCell ref="P11:W12"/>
    <mergeCell ref="B13:C13"/>
    <mergeCell ref="C17:H17"/>
    <mergeCell ref="I17:V17"/>
    <mergeCell ref="C18:H18"/>
    <mergeCell ref="I18:J18"/>
    <mergeCell ref="C19:H19"/>
    <mergeCell ref="I19:V19"/>
    <mergeCell ref="C23:W23"/>
    <mergeCell ref="C24:W24"/>
    <mergeCell ref="C20:H20"/>
    <mergeCell ref="I20:V20"/>
    <mergeCell ref="B21:C21"/>
    <mergeCell ref="D21:L21"/>
    <mergeCell ref="N21:Q21"/>
    <mergeCell ref="S21:V21"/>
  </mergeCells>
  <phoneticPr fontId="57"/>
  <printOptions horizontalCentered="1"/>
  <pageMargins left="0.39370078740157483" right="0.39370078740157483" top="0.6692913385826772" bottom="0.74803149606299213"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zoomScale="70" zoomScaleNormal="70" workbookViewId="0"/>
  </sheetViews>
  <sheetFormatPr defaultColWidth="4.625" defaultRowHeight="15.75" customHeight="1"/>
  <cols>
    <col min="1" max="2" width="2.625" style="278" customWidth="1"/>
    <col min="3" max="19" width="4.625" style="278" customWidth="1"/>
    <col min="20" max="20" width="4.25" style="278" customWidth="1"/>
    <col min="21" max="21" width="1.875" style="278" customWidth="1"/>
    <col min="22" max="256" width="4.625" style="278" customWidth="1"/>
    <col min="257" max="258" width="2.625" style="278" customWidth="1"/>
    <col min="259" max="275" width="4.625" style="278" customWidth="1"/>
    <col min="276" max="276" width="4.25" style="278" customWidth="1"/>
    <col min="277" max="277" width="1.875" style="278" customWidth="1"/>
    <col min="278" max="512" width="4.625" style="278" customWidth="1"/>
    <col min="513" max="514" width="2.625" style="278" customWidth="1"/>
    <col min="515" max="531" width="4.625" style="278" customWidth="1"/>
    <col min="532" max="532" width="4.25" style="278" customWidth="1"/>
    <col min="533" max="533" width="1.875" style="278" customWidth="1"/>
    <col min="534" max="768" width="4.625" style="278" customWidth="1"/>
    <col min="769" max="770" width="2.625" style="278" customWidth="1"/>
    <col min="771" max="787" width="4.625" style="278" customWidth="1"/>
    <col min="788" max="788" width="4.25" style="278" customWidth="1"/>
    <col min="789" max="789" width="1.875" style="278" customWidth="1"/>
    <col min="790" max="1024" width="4.625" style="278" customWidth="1"/>
    <col min="1025" max="1026" width="2.625" style="278" customWidth="1"/>
    <col min="1027" max="1043" width="4.625" style="278" customWidth="1"/>
    <col min="1044" max="1044" width="4.25" style="278" customWidth="1"/>
    <col min="1045" max="1045" width="1.875" style="278" customWidth="1"/>
    <col min="1046" max="1280" width="4.625" style="278" customWidth="1"/>
    <col min="1281" max="1282" width="2.625" style="278" customWidth="1"/>
    <col min="1283" max="1299" width="4.625" style="278" customWidth="1"/>
    <col min="1300" max="1300" width="4.25" style="278" customWidth="1"/>
    <col min="1301" max="1301" width="1.875" style="278" customWidth="1"/>
    <col min="1302" max="1536" width="4.625" style="278" customWidth="1"/>
    <col min="1537" max="1538" width="2.625" style="278" customWidth="1"/>
    <col min="1539" max="1555" width="4.625" style="278" customWidth="1"/>
    <col min="1556" max="1556" width="4.25" style="278" customWidth="1"/>
    <col min="1557" max="1557" width="1.875" style="278" customWidth="1"/>
    <col min="1558" max="1792" width="4.625" style="278" customWidth="1"/>
    <col min="1793" max="1794" width="2.625" style="278" customWidth="1"/>
    <col min="1795" max="1811" width="4.625" style="278" customWidth="1"/>
    <col min="1812" max="1812" width="4.25" style="278" customWidth="1"/>
    <col min="1813" max="1813" width="1.875" style="278" customWidth="1"/>
    <col min="1814" max="2048" width="4.625" style="278" customWidth="1"/>
    <col min="2049" max="2050" width="2.625" style="278" customWidth="1"/>
    <col min="2051" max="2067" width="4.625" style="278" customWidth="1"/>
    <col min="2068" max="2068" width="4.25" style="278" customWidth="1"/>
    <col min="2069" max="2069" width="1.875" style="278" customWidth="1"/>
    <col min="2070" max="2304" width="4.625" style="278" customWidth="1"/>
    <col min="2305" max="2306" width="2.625" style="278" customWidth="1"/>
    <col min="2307" max="2323" width="4.625" style="278" customWidth="1"/>
    <col min="2324" max="2324" width="4.25" style="278" customWidth="1"/>
    <col min="2325" max="2325" width="1.875" style="278" customWidth="1"/>
    <col min="2326" max="2560" width="4.625" style="278" customWidth="1"/>
    <col min="2561" max="2562" width="2.625" style="278" customWidth="1"/>
    <col min="2563" max="2579" width="4.625" style="278" customWidth="1"/>
    <col min="2580" max="2580" width="4.25" style="278" customWidth="1"/>
    <col min="2581" max="2581" width="1.875" style="278" customWidth="1"/>
    <col min="2582" max="2816" width="4.625" style="278" customWidth="1"/>
    <col min="2817" max="2818" width="2.625" style="278" customWidth="1"/>
    <col min="2819" max="2835" width="4.625" style="278" customWidth="1"/>
    <col min="2836" max="2836" width="4.25" style="278" customWidth="1"/>
    <col min="2837" max="2837" width="1.875" style="278" customWidth="1"/>
    <col min="2838" max="3072" width="4.625" style="278" customWidth="1"/>
    <col min="3073" max="3074" width="2.625" style="278" customWidth="1"/>
    <col min="3075" max="3091" width="4.625" style="278" customWidth="1"/>
    <col min="3092" max="3092" width="4.25" style="278" customWidth="1"/>
    <col min="3093" max="3093" width="1.875" style="278" customWidth="1"/>
    <col min="3094" max="3328" width="4.625" style="278" customWidth="1"/>
    <col min="3329" max="3330" width="2.625" style="278" customWidth="1"/>
    <col min="3331" max="3347" width="4.625" style="278" customWidth="1"/>
    <col min="3348" max="3348" width="4.25" style="278" customWidth="1"/>
    <col min="3349" max="3349" width="1.875" style="278" customWidth="1"/>
    <col min="3350" max="3584" width="4.625" style="278" customWidth="1"/>
    <col min="3585" max="3586" width="2.625" style="278" customWidth="1"/>
    <col min="3587" max="3603" width="4.625" style="278" customWidth="1"/>
    <col min="3604" max="3604" width="4.25" style="278" customWidth="1"/>
    <col min="3605" max="3605" width="1.875" style="278" customWidth="1"/>
    <col min="3606" max="3840" width="4.625" style="278" customWidth="1"/>
    <col min="3841" max="3842" width="2.625" style="278" customWidth="1"/>
    <col min="3843" max="3859" width="4.625" style="278" customWidth="1"/>
    <col min="3860" max="3860" width="4.25" style="278" customWidth="1"/>
    <col min="3861" max="3861" width="1.875" style="278" customWidth="1"/>
    <col min="3862" max="4096" width="4.625" style="278" customWidth="1"/>
    <col min="4097" max="4098" width="2.625" style="278" customWidth="1"/>
    <col min="4099" max="4115" width="4.625" style="278" customWidth="1"/>
    <col min="4116" max="4116" width="4.25" style="278" customWidth="1"/>
    <col min="4117" max="4117" width="1.875" style="278" customWidth="1"/>
    <col min="4118" max="4352" width="4.625" style="278" customWidth="1"/>
    <col min="4353" max="4354" width="2.625" style="278" customWidth="1"/>
    <col min="4355" max="4371" width="4.625" style="278" customWidth="1"/>
    <col min="4372" max="4372" width="4.25" style="278" customWidth="1"/>
    <col min="4373" max="4373" width="1.875" style="278" customWidth="1"/>
    <col min="4374" max="4608" width="4.625" style="278" customWidth="1"/>
    <col min="4609" max="4610" width="2.625" style="278" customWidth="1"/>
    <col min="4611" max="4627" width="4.625" style="278" customWidth="1"/>
    <col min="4628" max="4628" width="4.25" style="278" customWidth="1"/>
    <col min="4629" max="4629" width="1.875" style="278" customWidth="1"/>
    <col min="4630" max="4864" width="4.625" style="278" customWidth="1"/>
    <col min="4865" max="4866" width="2.625" style="278" customWidth="1"/>
    <col min="4867" max="4883" width="4.625" style="278" customWidth="1"/>
    <col min="4884" max="4884" width="4.25" style="278" customWidth="1"/>
    <col min="4885" max="4885" width="1.875" style="278" customWidth="1"/>
    <col min="4886" max="5120" width="4.625" style="278" customWidth="1"/>
    <col min="5121" max="5122" width="2.625" style="278" customWidth="1"/>
    <col min="5123" max="5139" width="4.625" style="278" customWidth="1"/>
    <col min="5140" max="5140" width="4.25" style="278" customWidth="1"/>
    <col min="5141" max="5141" width="1.875" style="278" customWidth="1"/>
    <col min="5142" max="5376" width="4.625" style="278" customWidth="1"/>
    <col min="5377" max="5378" width="2.625" style="278" customWidth="1"/>
    <col min="5379" max="5395" width="4.625" style="278" customWidth="1"/>
    <col min="5396" max="5396" width="4.25" style="278" customWidth="1"/>
    <col min="5397" max="5397" width="1.875" style="278" customWidth="1"/>
    <col min="5398" max="5632" width="4.625" style="278" customWidth="1"/>
    <col min="5633" max="5634" width="2.625" style="278" customWidth="1"/>
    <col min="5635" max="5651" width="4.625" style="278" customWidth="1"/>
    <col min="5652" max="5652" width="4.25" style="278" customWidth="1"/>
    <col min="5653" max="5653" width="1.875" style="278" customWidth="1"/>
    <col min="5654" max="5888" width="4.625" style="278" customWidth="1"/>
    <col min="5889" max="5890" width="2.625" style="278" customWidth="1"/>
    <col min="5891" max="5907" width="4.625" style="278" customWidth="1"/>
    <col min="5908" max="5908" width="4.25" style="278" customWidth="1"/>
    <col min="5909" max="5909" width="1.875" style="278" customWidth="1"/>
    <col min="5910" max="6144" width="4.625" style="278" customWidth="1"/>
    <col min="6145" max="6146" width="2.625" style="278" customWidth="1"/>
    <col min="6147" max="6163" width="4.625" style="278" customWidth="1"/>
    <col min="6164" max="6164" width="4.25" style="278" customWidth="1"/>
    <col min="6165" max="6165" width="1.875" style="278" customWidth="1"/>
    <col min="6166" max="6400" width="4.625" style="278" customWidth="1"/>
    <col min="6401" max="6402" width="2.625" style="278" customWidth="1"/>
    <col min="6403" max="6419" width="4.625" style="278" customWidth="1"/>
    <col min="6420" max="6420" width="4.25" style="278" customWidth="1"/>
    <col min="6421" max="6421" width="1.875" style="278" customWidth="1"/>
    <col min="6422" max="6656" width="4.625" style="278" customWidth="1"/>
    <col min="6657" max="6658" width="2.625" style="278" customWidth="1"/>
    <col min="6659" max="6675" width="4.625" style="278" customWidth="1"/>
    <col min="6676" max="6676" width="4.25" style="278" customWidth="1"/>
    <col min="6677" max="6677" width="1.875" style="278" customWidth="1"/>
    <col min="6678" max="6912" width="4.625" style="278" customWidth="1"/>
    <col min="6913" max="6914" width="2.625" style="278" customWidth="1"/>
    <col min="6915" max="6931" width="4.625" style="278" customWidth="1"/>
    <col min="6932" max="6932" width="4.25" style="278" customWidth="1"/>
    <col min="6933" max="6933" width="1.875" style="278" customWidth="1"/>
    <col min="6934" max="7168" width="4.625" style="278" customWidth="1"/>
    <col min="7169" max="7170" width="2.625" style="278" customWidth="1"/>
    <col min="7171" max="7187" width="4.625" style="278" customWidth="1"/>
    <col min="7188" max="7188" width="4.25" style="278" customWidth="1"/>
    <col min="7189" max="7189" width="1.875" style="278" customWidth="1"/>
    <col min="7190" max="7424" width="4.625" style="278" customWidth="1"/>
    <col min="7425" max="7426" width="2.625" style="278" customWidth="1"/>
    <col min="7427" max="7443" width="4.625" style="278" customWidth="1"/>
    <col min="7444" max="7444" width="4.25" style="278" customWidth="1"/>
    <col min="7445" max="7445" width="1.875" style="278" customWidth="1"/>
    <col min="7446" max="7680" width="4.625" style="278" customWidth="1"/>
    <col min="7681" max="7682" width="2.625" style="278" customWidth="1"/>
    <col min="7683" max="7699" width="4.625" style="278" customWidth="1"/>
    <col min="7700" max="7700" width="4.25" style="278" customWidth="1"/>
    <col min="7701" max="7701" width="1.875" style="278" customWidth="1"/>
    <col min="7702" max="7936" width="4.625" style="278" customWidth="1"/>
    <col min="7937" max="7938" width="2.625" style="278" customWidth="1"/>
    <col min="7939" max="7955" width="4.625" style="278" customWidth="1"/>
    <col min="7956" max="7956" width="4.25" style="278" customWidth="1"/>
    <col min="7957" max="7957" width="1.875" style="278" customWidth="1"/>
    <col min="7958" max="8192" width="4.625" style="278" customWidth="1"/>
    <col min="8193" max="8194" width="2.625" style="278" customWidth="1"/>
    <col min="8195" max="8211" width="4.625" style="278" customWidth="1"/>
    <col min="8212" max="8212" width="4.25" style="278" customWidth="1"/>
    <col min="8213" max="8213" width="1.875" style="278" customWidth="1"/>
    <col min="8214" max="8448" width="4.625" style="278" customWidth="1"/>
    <col min="8449" max="8450" width="2.625" style="278" customWidth="1"/>
    <col min="8451" max="8467" width="4.625" style="278" customWidth="1"/>
    <col min="8468" max="8468" width="4.25" style="278" customWidth="1"/>
    <col min="8469" max="8469" width="1.875" style="278" customWidth="1"/>
    <col min="8470" max="8704" width="4.625" style="278" customWidth="1"/>
    <col min="8705" max="8706" width="2.625" style="278" customWidth="1"/>
    <col min="8707" max="8723" width="4.625" style="278" customWidth="1"/>
    <col min="8724" max="8724" width="4.25" style="278" customWidth="1"/>
    <col min="8725" max="8725" width="1.875" style="278" customWidth="1"/>
    <col min="8726" max="8960" width="4.625" style="278" customWidth="1"/>
    <col min="8961" max="8962" width="2.625" style="278" customWidth="1"/>
    <col min="8963" max="8979" width="4.625" style="278" customWidth="1"/>
    <col min="8980" max="8980" width="4.25" style="278" customWidth="1"/>
    <col min="8981" max="8981" width="1.875" style="278" customWidth="1"/>
    <col min="8982" max="9216" width="4.625" style="278" customWidth="1"/>
    <col min="9217" max="9218" width="2.625" style="278" customWidth="1"/>
    <col min="9219" max="9235" width="4.625" style="278" customWidth="1"/>
    <col min="9236" max="9236" width="4.25" style="278" customWidth="1"/>
    <col min="9237" max="9237" width="1.875" style="278" customWidth="1"/>
    <col min="9238" max="9472" width="4.625" style="278" customWidth="1"/>
    <col min="9473" max="9474" width="2.625" style="278" customWidth="1"/>
    <col min="9475" max="9491" width="4.625" style="278" customWidth="1"/>
    <col min="9492" max="9492" width="4.25" style="278" customWidth="1"/>
    <col min="9493" max="9493" width="1.875" style="278" customWidth="1"/>
    <col min="9494" max="9728" width="4.625" style="278" customWidth="1"/>
    <col min="9729" max="9730" width="2.625" style="278" customWidth="1"/>
    <col min="9731" max="9747" width="4.625" style="278" customWidth="1"/>
    <col min="9748" max="9748" width="4.25" style="278" customWidth="1"/>
    <col min="9749" max="9749" width="1.875" style="278" customWidth="1"/>
    <col min="9750" max="9984" width="4.625" style="278" customWidth="1"/>
    <col min="9985" max="9986" width="2.625" style="278" customWidth="1"/>
    <col min="9987" max="10003" width="4.625" style="278" customWidth="1"/>
    <col min="10004" max="10004" width="4.25" style="278" customWidth="1"/>
    <col min="10005" max="10005" width="1.875" style="278" customWidth="1"/>
    <col min="10006" max="10240" width="4.625" style="278" customWidth="1"/>
    <col min="10241" max="10242" width="2.625" style="278" customWidth="1"/>
    <col min="10243" max="10259" width="4.625" style="278" customWidth="1"/>
    <col min="10260" max="10260" width="4.25" style="278" customWidth="1"/>
    <col min="10261" max="10261" width="1.875" style="278" customWidth="1"/>
    <col min="10262" max="10496" width="4.625" style="278" customWidth="1"/>
    <col min="10497" max="10498" width="2.625" style="278" customWidth="1"/>
    <col min="10499" max="10515" width="4.625" style="278" customWidth="1"/>
    <col min="10516" max="10516" width="4.25" style="278" customWidth="1"/>
    <col min="10517" max="10517" width="1.875" style="278" customWidth="1"/>
    <col min="10518" max="10752" width="4.625" style="278" customWidth="1"/>
    <col min="10753" max="10754" width="2.625" style="278" customWidth="1"/>
    <col min="10755" max="10771" width="4.625" style="278" customWidth="1"/>
    <col min="10772" max="10772" width="4.25" style="278" customWidth="1"/>
    <col min="10773" max="10773" width="1.875" style="278" customWidth="1"/>
    <col min="10774" max="11008" width="4.625" style="278" customWidth="1"/>
    <col min="11009" max="11010" width="2.625" style="278" customWidth="1"/>
    <col min="11011" max="11027" width="4.625" style="278" customWidth="1"/>
    <col min="11028" max="11028" width="4.25" style="278" customWidth="1"/>
    <col min="11029" max="11029" width="1.875" style="278" customWidth="1"/>
    <col min="11030" max="11264" width="4.625" style="278" customWidth="1"/>
    <col min="11265" max="11266" width="2.625" style="278" customWidth="1"/>
    <col min="11267" max="11283" width="4.625" style="278" customWidth="1"/>
    <col min="11284" max="11284" width="4.25" style="278" customWidth="1"/>
    <col min="11285" max="11285" width="1.875" style="278" customWidth="1"/>
    <col min="11286" max="11520" width="4.625" style="278" customWidth="1"/>
    <col min="11521" max="11522" width="2.625" style="278" customWidth="1"/>
    <col min="11523" max="11539" width="4.625" style="278" customWidth="1"/>
    <col min="11540" max="11540" width="4.25" style="278" customWidth="1"/>
    <col min="11541" max="11541" width="1.875" style="278" customWidth="1"/>
    <col min="11542" max="11776" width="4.625" style="278" customWidth="1"/>
    <col min="11777" max="11778" width="2.625" style="278" customWidth="1"/>
    <col min="11779" max="11795" width="4.625" style="278" customWidth="1"/>
    <col min="11796" max="11796" width="4.25" style="278" customWidth="1"/>
    <col min="11797" max="11797" width="1.875" style="278" customWidth="1"/>
    <col min="11798" max="12032" width="4.625" style="278" customWidth="1"/>
    <col min="12033" max="12034" width="2.625" style="278" customWidth="1"/>
    <col min="12035" max="12051" width="4.625" style="278" customWidth="1"/>
    <col min="12052" max="12052" width="4.25" style="278" customWidth="1"/>
    <col min="12053" max="12053" width="1.875" style="278" customWidth="1"/>
    <col min="12054" max="12288" width="4.625" style="278" customWidth="1"/>
    <col min="12289" max="12290" width="2.625" style="278" customWidth="1"/>
    <col min="12291" max="12307" width="4.625" style="278" customWidth="1"/>
    <col min="12308" max="12308" width="4.25" style="278" customWidth="1"/>
    <col min="12309" max="12309" width="1.875" style="278" customWidth="1"/>
    <col min="12310" max="12544" width="4.625" style="278" customWidth="1"/>
    <col min="12545" max="12546" width="2.625" style="278" customWidth="1"/>
    <col min="12547" max="12563" width="4.625" style="278" customWidth="1"/>
    <col min="12564" max="12564" width="4.25" style="278" customWidth="1"/>
    <col min="12565" max="12565" width="1.875" style="278" customWidth="1"/>
    <col min="12566" max="12800" width="4.625" style="278" customWidth="1"/>
    <col min="12801" max="12802" width="2.625" style="278" customWidth="1"/>
    <col min="12803" max="12819" width="4.625" style="278" customWidth="1"/>
    <col min="12820" max="12820" width="4.25" style="278" customWidth="1"/>
    <col min="12821" max="12821" width="1.875" style="278" customWidth="1"/>
    <col min="12822" max="13056" width="4.625" style="278" customWidth="1"/>
    <col min="13057" max="13058" width="2.625" style="278" customWidth="1"/>
    <col min="13059" max="13075" width="4.625" style="278" customWidth="1"/>
    <col min="13076" max="13076" width="4.25" style="278" customWidth="1"/>
    <col min="13077" max="13077" width="1.875" style="278" customWidth="1"/>
    <col min="13078" max="13312" width="4.625" style="278" customWidth="1"/>
    <col min="13313" max="13314" width="2.625" style="278" customWidth="1"/>
    <col min="13315" max="13331" width="4.625" style="278" customWidth="1"/>
    <col min="13332" max="13332" width="4.25" style="278" customWidth="1"/>
    <col min="13333" max="13333" width="1.875" style="278" customWidth="1"/>
    <col min="13334" max="13568" width="4.625" style="278" customWidth="1"/>
    <col min="13569" max="13570" width="2.625" style="278" customWidth="1"/>
    <col min="13571" max="13587" width="4.625" style="278" customWidth="1"/>
    <col min="13588" max="13588" width="4.25" style="278" customWidth="1"/>
    <col min="13589" max="13589" width="1.875" style="278" customWidth="1"/>
    <col min="13590" max="13824" width="4.625" style="278" customWidth="1"/>
    <col min="13825" max="13826" width="2.625" style="278" customWidth="1"/>
    <col min="13827" max="13843" width="4.625" style="278" customWidth="1"/>
    <col min="13844" max="13844" width="4.25" style="278" customWidth="1"/>
    <col min="13845" max="13845" width="1.875" style="278" customWidth="1"/>
    <col min="13846" max="14080" width="4.625" style="278" customWidth="1"/>
    <col min="14081" max="14082" width="2.625" style="278" customWidth="1"/>
    <col min="14083" max="14099" width="4.625" style="278" customWidth="1"/>
    <col min="14100" max="14100" width="4.25" style="278" customWidth="1"/>
    <col min="14101" max="14101" width="1.875" style="278" customWidth="1"/>
    <col min="14102" max="14336" width="4.625" style="278" customWidth="1"/>
    <col min="14337" max="14338" width="2.625" style="278" customWidth="1"/>
    <col min="14339" max="14355" width="4.625" style="278" customWidth="1"/>
    <col min="14356" max="14356" width="4.25" style="278" customWidth="1"/>
    <col min="14357" max="14357" width="1.875" style="278" customWidth="1"/>
    <col min="14358" max="14592" width="4.625" style="278" customWidth="1"/>
    <col min="14593" max="14594" width="2.625" style="278" customWidth="1"/>
    <col min="14595" max="14611" width="4.625" style="278" customWidth="1"/>
    <col min="14612" max="14612" width="4.25" style="278" customWidth="1"/>
    <col min="14613" max="14613" width="1.875" style="278" customWidth="1"/>
    <col min="14614" max="14848" width="4.625" style="278" customWidth="1"/>
    <col min="14849" max="14850" width="2.625" style="278" customWidth="1"/>
    <col min="14851" max="14867" width="4.625" style="278" customWidth="1"/>
    <col min="14868" max="14868" width="4.25" style="278" customWidth="1"/>
    <col min="14869" max="14869" width="1.875" style="278" customWidth="1"/>
    <col min="14870" max="15104" width="4.625" style="278" customWidth="1"/>
    <col min="15105" max="15106" width="2.625" style="278" customWidth="1"/>
    <col min="15107" max="15123" width="4.625" style="278" customWidth="1"/>
    <col min="15124" max="15124" width="4.25" style="278" customWidth="1"/>
    <col min="15125" max="15125" width="1.875" style="278" customWidth="1"/>
    <col min="15126" max="15360" width="4.625" style="278" customWidth="1"/>
    <col min="15361" max="15362" width="2.625" style="278" customWidth="1"/>
    <col min="15363" max="15379" width="4.625" style="278" customWidth="1"/>
    <col min="15380" max="15380" width="4.25" style="278" customWidth="1"/>
    <col min="15381" max="15381" width="1.875" style="278" customWidth="1"/>
    <col min="15382" max="15616" width="4.625" style="278" customWidth="1"/>
    <col min="15617" max="15618" width="2.625" style="278" customWidth="1"/>
    <col min="15619" max="15635" width="4.625" style="278" customWidth="1"/>
    <col min="15636" max="15636" width="4.25" style="278" customWidth="1"/>
    <col min="15637" max="15637" width="1.875" style="278" customWidth="1"/>
    <col min="15638" max="15872" width="4.625" style="278" customWidth="1"/>
    <col min="15873" max="15874" width="2.625" style="278" customWidth="1"/>
    <col min="15875" max="15891" width="4.625" style="278" customWidth="1"/>
    <col min="15892" max="15892" width="4.25" style="278" customWidth="1"/>
    <col min="15893" max="15893" width="1.875" style="278" customWidth="1"/>
    <col min="15894" max="16128" width="4.625" style="278" customWidth="1"/>
    <col min="16129" max="16130" width="2.625" style="278" customWidth="1"/>
    <col min="16131" max="16147" width="4.625" style="278" customWidth="1"/>
    <col min="16148" max="16148" width="4.25" style="278" customWidth="1"/>
    <col min="16149" max="16149" width="1.875" style="278" customWidth="1"/>
    <col min="16150" max="16384" width="4.625" style="278" customWidth="1"/>
  </cols>
  <sheetData>
    <row r="1" spans="1:21" ht="15.75" customHeight="1">
      <c r="B1" s="285" t="s">
        <v>2794</v>
      </c>
    </row>
    <row r="2" spans="1:21" ht="15.75" customHeight="1">
      <c r="A2" s="775" t="s">
        <v>2795</v>
      </c>
      <c r="B2" s="775"/>
      <c r="C2" s="775"/>
      <c r="D2" s="775"/>
      <c r="E2" s="775"/>
      <c r="F2" s="775"/>
      <c r="G2" s="775"/>
      <c r="H2" s="775"/>
      <c r="I2" s="775"/>
      <c r="J2" s="775"/>
      <c r="K2" s="775"/>
      <c r="L2" s="775"/>
      <c r="M2" s="775"/>
      <c r="N2" s="775"/>
      <c r="O2" s="775"/>
      <c r="P2" s="775"/>
      <c r="Q2" s="775"/>
      <c r="R2" s="775"/>
      <c r="S2" s="775"/>
      <c r="T2" s="775"/>
      <c r="U2" s="775"/>
    </row>
    <row r="4" spans="1:21" ht="11.25" customHeight="1">
      <c r="N4" s="841"/>
      <c r="O4" s="841"/>
      <c r="P4" s="775" t="s">
        <v>464</v>
      </c>
      <c r="Q4" s="841"/>
      <c r="R4" s="775" t="s">
        <v>1</v>
      </c>
      <c r="S4" s="841"/>
      <c r="T4" s="775" t="s">
        <v>465</v>
      </c>
    </row>
    <row r="5" spans="1:21" ht="11.25" customHeight="1">
      <c r="N5" s="841"/>
      <c r="O5" s="841"/>
      <c r="P5" s="775"/>
      <c r="Q5" s="841"/>
      <c r="R5" s="775"/>
      <c r="S5" s="841"/>
      <c r="T5" s="775"/>
    </row>
    <row r="6" spans="1:21" ht="20.25" customHeight="1">
      <c r="A6" s="384" t="str">
        <f ca="1">cst_Pre_Corp__SHINSEI</f>
        <v>一般財団法人静岡県建築住宅まちづくりセンター</v>
      </c>
    </row>
    <row r="7" spans="1:21" ht="20.25" customHeight="1">
      <c r="B7" s="384" t="str">
        <f ca="1">cst_Pre_Daihyou__SHINSEI</f>
        <v>理事長 　柳　敏幸</v>
      </c>
      <c r="G7" s="278" t="s">
        <v>2796</v>
      </c>
    </row>
    <row r="8" spans="1:21" ht="20.25" customHeight="1">
      <c r="L8" s="775" t="s">
        <v>2831</v>
      </c>
      <c r="M8" s="775"/>
      <c r="N8" s="752" t="str">
        <f>cst_wskakunin_owner1__address</f>
        <v>静岡県静岡市葵区新伝馬二丁目8-41-101</v>
      </c>
      <c r="O8" s="752"/>
      <c r="P8" s="752"/>
      <c r="Q8" s="752"/>
      <c r="R8" s="752"/>
      <c r="S8" s="752"/>
      <c r="T8" s="752"/>
      <c r="U8" s="752"/>
    </row>
    <row r="9" spans="1:21" ht="20.25" customHeight="1">
      <c r="K9" s="280" t="s">
        <v>2797</v>
      </c>
      <c r="N9" s="752"/>
      <c r="O9" s="752"/>
      <c r="P9" s="752"/>
      <c r="Q9" s="752"/>
      <c r="R9" s="752"/>
      <c r="S9" s="752"/>
      <c r="T9" s="752"/>
      <c r="U9" s="752"/>
    </row>
    <row r="10" spans="1:21" ht="20.25" customHeight="1">
      <c r="L10" s="775" t="s">
        <v>3040</v>
      </c>
      <c r="M10" s="775"/>
      <c r="N10" s="752" t="str">
        <f>cst_wskakunin_owner1__space3</f>
        <v>菅野　幸子</v>
      </c>
      <c r="O10" s="752"/>
      <c r="P10" s="752"/>
      <c r="Q10" s="752"/>
      <c r="R10" s="752"/>
      <c r="S10" s="752"/>
      <c r="T10" s="752"/>
      <c r="U10" s="752"/>
    </row>
    <row r="11" spans="1:21" ht="15.75" customHeight="1">
      <c r="N11" s="752"/>
      <c r="O11" s="752"/>
      <c r="P11" s="752"/>
      <c r="Q11" s="752"/>
      <c r="R11" s="752"/>
      <c r="S11" s="752"/>
      <c r="T11" s="752"/>
      <c r="U11" s="752"/>
    </row>
    <row r="12" spans="1:21" ht="22.5" customHeight="1">
      <c r="B12" s="278" t="s">
        <v>2798</v>
      </c>
    </row>
    <row r="13" spans="1:21" ht="90" customHeight="1">
      <c r="A13" s="286">
        <v>1</v>
      </c>
      <c r="B13" s="837" t="s">
        <v>2799</v>
      </c>
      <c r="C13" s="837"/>
      <c r="D13" s="837"/>
      <c r="E13" s="837"/>
      <c r="F13" s="837"/>
      <c r="G13" s="838"/>
      <c r="H13" s="842">
        <f ca="1">cst_ISSUE_DATE_select</f>
        <v>44958</v>
      </c>
      <c r="I13" s="843"/>
      <c r="J13" s="465" t="s">
        <v>464</v>
      </c>
      <c r="K13" s="467">
        <f ca="1">cst_ISSUE_DATE_select</f>
        <v>44958</v>
      </c>
      <c r="L13" s="465" t="s">
        <v>1</v>
      </c>
      <c r="M13" s="466">
        <f ca="1">cst_ISSUE_DATE_select</f>
        <v>44958</v>
      </c>
      <c r="N13" s="465" t="s">
        <v>465</v>
      </c>
      <c r="O13" s="839" t="str">
        <f ca="1">IF(cst_ISSUE_NO_select="","第　　　　　　　号",IF(COUNTIF(cst_ISSUE_NO_select,"*第*")&gt;0,"","第")&amp;cst_ISSUE_NO_select&amp;IF(COUNTIF(cst_ISSUE_NO_select,"*号*")&gt;0,"","号"))</f>
        <v>第 2022確認建築静建住ま10505 号</v>
      </c>
      <c r="P13" s="839"/>
      <c r="Q13" s="839"/>
      <c r="R13" s="839"/>
      <c r="S13" s="839"/>
      <c r="T13" s="839"/>
      <c r="U13" s="840"/>
    </row>
    <row r="14" spans="1:21" ht="81.75" customHeight="1">
      <c r="A14" s="287">
        <v>2</v>
      </c>
      <c r="B14" s="853" t="s">
        <v>2800</v>
      </c>
      <c r="C14" s="854"/>
      <c r="D14" s="854"/>
      <c r="E14" s="854"/>
      <c r="F14" s="854"/>
      <c r="G14" s="855"/>
      <c r="H14" s="856" t="str">
        <f>cst_wskakunin_BUILD__address</f>
        <v>静岡県静岡市葵区平和二丁目215-8</v>
      </c>
      <c r="I14" s="857"/>
      <c r="J14" s="857"/>
      <c r="K14" s="857"/>
      <c r="L14" s="857"/>
      <c r="M14" s="857"/>
      <c r="N14" s="857"/>
      <c r="O14" s="857"/>
      <c r="P14" s="857"/>
      <c r="Q14" s="857"/>
      <c r="R14" s="857"/>
      <c r="S14" s="857"/>
      <c r="T14" s="857"/>
      <c r="U14" s="858"/>
    </row>
    <row r="15" spans="1:21" ht="80.25" customHeight="1">
      <c r="A15" s="286">
        <v>3</v>
      </c>
      <c r="B15" s="859" t="s">
        <v>2801</v>
      </c>
      <c r="C15" s="837"/>
      <c r="D15" s="837"/>
      <c r="E15" s="837"/>
      <c r="F15" s="837"/>
      <c r="G15" s="838"/>
      <c r="H15" s="856" t="str">
        <f>cst_wskakunin_owner1__address&amp;CHAR(10)&amp;cst_wskakunin_owner1__space</f>
        <v>静岡県静岡市葵区新伝馬二丁目8-41-101
菅野　幸子</v>
      </c>
      <c r="I15" s="857"/>
      <c r="J15" s="857"/>
      <c r="K15" s="857"/>
      <c r="L15" s="857"/>
      <c r="M15" s="857"/>
      <c r="N15" s="857"/>
      <c r="O15" s="857"/>
      <c r="P15" s="857"/>
      <c r="Q15" s="857"/>
      <c r="R15" s="857"/>
      <c r="S15" s="857"/>
      <c r="T15" s="857"/>
      <c r="U15" s="858"/>
    </row>
    <row r="16" spans="1:21" ht="80.25" customHeight="1">
      <c r="A16" s="286">
        <v>4</v>
      </c>
      <c r="B16" s="837" t="s">
        <v>2802</v>
      </c>
      <c r="C16" s="837"/>
      <c r="D16" s="837"/>
      <c r="E16" s="837"/>
      <c r="F16" s="837"/>
      <c r="G16" s="838"/>
      <c r="H16" s="846"/>
      <c r="I16" s="847"/>
      <c r="J16" s="847"/>
      <c r="K16" s="847"/>
      <c r="L16" s="847"/>
      <c r="M16" s="847"/>
      <c r="N16" s="847"/>
      <c r="O16" s="847"/>
      <c r="P16" s="847"/>
      <c r="Q16" s="847"/>
      <c r="R16" s="847"/>
      <c r="S16" s="847"/>
      <c r="T16" s="847"/>
      <c r="U16" s="848"/>
    </row>
    <row r="17" spans="1:21" ht="79.5" customHeight="1">
      <c r="A17" s="288">
        <v>5</v>
      </c>
      <c r="B17" s="844" t="s">
        <v>2803</v>
      </c>
      <c r="C17" s="844"/>
      <c r="D17" s="844"/>
      <c r="E17" s="844"/>
      <c r="F17" s="844"/>
      <c r="G17" s="845"/>
      <c r="H17" s="846"/>
      <c r="I17" s="847"/>
      <c r="J17" s="847"/>
      <c r="K17" s="847"/>
      <c r="L17" s="847"/>
      <c r="M17" s="847"/>
      <c r="N17" s="847"/>
      <c r="O17" s="847"/>
      <c r="P17" s="847"/>
      <c r="Q17" s="847"/>
      <c r="R17" s="847"/>
      <c r="S17" s="847"/>
      <c r="T17" s="847"/>
      <c r="U17" s="848"/>
    </row>
    <row r="18" spans="1:21" ht="123.75" customHeight="1">
      <c r="A18" s="849" t="s">
        <v>2804</v>
      </c>
      <c r="B18" s="850"/>
      <c r="C18" s="851"/>
      <c r="D18" s="852"/>
      <c r="E18" s="852"/>
      <c r="F18" s="852"/>
      <c r="G18" s="852"/>
      <c r="H18" s="852"/>
      <c r="I18" s="852"/>
      <c r="J18" s="852"/>
      <c r="K18" s="852"/>
      <c r="L18" s="852"/>
      <c r="M18" s="850"/>
      <c r="N18" s="289" t="s">
        <v>2805</v>
      </c>
      <c r="O18" s="851"/>
      <c r="P18" s="852"/>
      <c r="Q18" s="850"/>
      <c r="R18" s="289" t="s">
        <v>2806</v>
      </c>
      <c r="S18" s="851"/>
      <c r="T18" s="852"/>
      <c r="U18" s="850"/>
    </row>
    <row r="20" spans="1:21" ht="18" customHeight="1">
      <c r="A20" s="278" t="s">
        <v>484</v>
      </c>
      <c r="C20" s="278" t="s">
        <v>3186</v>
      </c>
    </row>
    <row r="21" spans="1:21" ht="18" customHeight="1">
      <c r="C21" s="278" t="s">
        <v>3188</v>
      </c>
    </row>
    <row r="22" spans="1:21" ht="15.75" customHeight="1">
      <c r="C22" s="278" t="s">
        <v>3187</v>
      </c>
    </row>
  </sheetData>
  <mergeCells count="26">
    <mergeCell ref="B14:G14"/>
    <mergeCell ref="H14:U14"/>
    <mergeCell ref="B15:G15"/>
    <mergeCell ref="H15:U15"/>
    <mergeCell ref="B16:G16"/>
    <mergeCell ref="H16:U16"/>
    <mergeCell ref="B17:G17"/>
    <mergeCell ref="H17:U17"/>
    <mergeCell ref="A18:B18"/>
    <mergeCell ref="C18:M18"/>
    <mergeCell ref="O18:Q18"/>
    <mergeCell ref="S18:U18"/>
    <mergeCell ref="A2:U2"/>
    <mergeCell ref="L8:M8"/>
    <mergeCell ref="L10:M10"/>
    <mergeCell ref="B13:G13"/>
    <mergeCell ref="O13:U13"/>
    <mergeCell ref="N8:U9"/>
    <mergeCell ref="N10:U11"/>
    <mergeCell ref="T4:T5"/>
    <mergeCell ref="S4:S5"/>
    <mergeCell ref="R4:R5"/>
    <mergeCell ref="Q4:Q5"/>
    <mergeCell ref="P4:P5"/>
    <mergeCell ref="N4:O5"/>
    <mergeCell ref="H13:I13"/>
  </mergeCells>
  <phoneticPr fontId="57"/>
  <printOptions horizontalCentered="1"/>
  <pageMargins left="0.39370078740157483" right="0.39370078740157483" top="0.6692913385826772" bottom="0.94488188976377963" header="0.31496062992125984" footer="0.31496062992125984"/>
  <pageSetup paperSize="9" scale="98"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workbookViewId="0"/>
  </sheetViews>
  <sheetFormatPr defaultColWidth="2.625" defaultRowHeight="18" customHeight="1"/>
  <cols>
    <col min="40" max="40" width="6" hidden="1" customWidth="1"/>
    <col min="41" max="41" width="29.625" hidden="1" customWidth="1"/>
  </cols>
  <sheetData>
    <row r="1" spans="1:41" ht="18" customHeight="1">
      <c r="A1" s="603" t="s">
        <v>3238</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494"/>
    </row>
    <row r="2" spans="1:41" ht="18" customHeight="1">
      <c r="B2" s="430"/>
      <c r="C2" s="430"/>
      <c r="D2" s="430"/>
      <c r="E2" s="430"/>
      <c r="F2" s="430"/>
      <c r="G2" s="430"/>
      <c r="H2" s="430"/>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N2" s="496" t="str">
        <f>IF(AND(cst_wskakunin_owner2__space&lt;&gt;"",cst__output_sheetname="工事監理計画届"),"○","")</f>
        <v/>
      </c>
      <c r="AO2" s="496" t="s">
        <v>3201</v>
      </c>
    </row>
    <row r="3" spans="1:41" ht="18" customHeight="1">
      <c r="B3" s="430"/>
      <c r="C3" s="430"/>
      <c r="D3" s="430"/>
      <c r="E3" s="430"/>
      <c r="F3" s="430"/>
      <c r="G3" s="430"/>
      <c r="H3" s="430"/>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N3" s="496" t="str">
        <f>IF(AND(cst_wskakunin_owner2__space&lt;&gt;"",cst__output_sheetname="軽微な変更説明書"),"○","")</f>
        <v/>
      </c>
      <c r="AO3" s="496" t="s">
        <v>3202</v>
      </c>
    </row>
    <row r="4" spans="1:41" ht="18" customHeight="1">
      <c r="B4" s="423" t="s">
        <v>3239</v>
      </c>
      <c r="C4" s="430"/>
      <c r="D4" s="430"/>
      <c r="E4" s="430"/>
      <c r="F4" s="430"/>
      <c r="G4" s="430"/>
      <c r="H4" s="430"/>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N4" s="496" t="str">
        <f ca="1">IF(AND(OR(cst_wsjob_JOB_KIND="確認申請",cst_wsjob_JOB_KIND="計画変更"),cst_wskakunin_owner2__space&lt;&gt;"",cst__output_sheetname="取下げ届"),"○","")</f>
        <v/>
      </c>
      <c r="AO4" s="496" t="s">
        <v>3203</v>
      </c>
    </row>
    <row r="5" spans="1:41" ht="18" customHeight="1">
      <c r="B5" s="423"/>
      <c r="C5" s="430"/>
      <c r="D5" s="430"/>
      <c r="E5" s="430"/>
      <c r="F5" s="430"/>
      <c r="G5" s="430"/>
      <c r="H5" s="430"/>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N5" s="496" t="str">
        <f ca="1">IF(AND(cst_wsjob_JOB_KIND="中間検査",cst_wskakunin_owner2__space&lt;&gt;"",cst__output_sheetname="取下げ届"),"○","")</f>
        <v/>
      </c>
      <c r="AO5" s="496" t="s">
        <v>3204</v>
      </c>
    </row>
    <row r="6" spans="1:41" s="410" customFormat="1" ht="12">
      <c r="B6" s="410" t="s">
        <v>10</v>
      </c>
    </row>
    <row r="7" spans="1:41" ht="18" customHeight="1">
      <c r="B7" s="423"/>
      <c r="C7" s="430"/>
      <c r="D7" s="430"/>
      <c r="E7" s="430"/>
      <c r="F7" s="430"/>
      <c r="G7" s="430"/>
      <c r="H7" s="430"/>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N7" s="496" t="str">
        <f ca="1">IF(AND(cst_wsjob_JOB_KIND="中間検査",cst_wskakunin_owner2__space&lt;&gt;"",cst__output_sheetname="取下げ届"),"○","")</f>
        <v/>
      </c>
      <c r="AO7" s="496" t="s">
        <v>3204</v>
      </c>
    </row>
    <row r="8" spans="1:41" s="410" customFormat="1" ht="18" customHeight="1">
      <c r="C8" s="552" t="s">
        <v>11</v>
      </c>
      <c r="D8" s="552"/>
      <c r="E8" s="552"/>
      <c r="F8" s="555" t="str">
        <f>cst_wskakunin_owner2__space3</f>
        <v/>
      </c>
      <c r="G8" s="555"/>
      <c r="H8" s="555"/>
      <c r="I8" s="555"/>
      <c r="J8" s="555"/>
      <c r="K8" s="555"/>
      <c r="L8" s="555"/>
      <c r="M8" s="555"/>
      <c r="N8" s="555"/>
      <c r="O8" s="555"/>
      <c r="P8" s="555"/>
      <c r="Q8" s="555"/>
      <c r="R8" s="555"/>
      <c r="S8" s="555"/>
      <c r="T8" s="555"/>
      <c r="U8" s="555"/>
      <c r="V8" s="555"/>
      <c r="W8" s="555"/>
      <c r="X8" s="555"/>
      <c r="Y8" s="555"/>
      <c r="Z8" s="555"/>
      <c r="AA8" s="555"/>
      <c r="AB8" s="552"/>
    </row>
    <row r="9" spans="1:41" s="410" customFormat="1" ht="18" customHeight="1">
      <c r="C9" s="552"/>
      <c r="D9" s="552"/>
      <c r="E9" s="552"/>
      <c r="F9" s="555"/>
      <c r="G9" s="555"/>
      <c r="H9" s="555"/>
      <c r="I9" s="555"/>
      <c r="J9" s="555"/>
      <c r="K9" s="555"/>
      <c r="L9" s="555"/>
      <c r="M9" s="555"/>
      <c r="N9" s="555"/>
      <c r="O9" s="555"/>
      <c r="P9" s="555"/>
      <c r="Q9" s="555"/>
      <c r="R9" s="555"/>
      <c r="S9" s="555"/>
      <c r="T9" s="555"/>
      <c r="U9" s="555"/>
      <c r="V9" s="555"/>
      <c r="W9" s="555"/>
      <c r="X9" s="555"/>
      <c r="Y9" s="555"/>
      <c r="Z9" s="555"/>
      <c r="AA9" s="555"/>
      <c r="AB9" s="552"/>
    </row>
    <row r="10" spans="1:41" s="410" customFormat="1" ht="18" customHeight="1">
      <c r="C10" s="410" t="s">
        <v>12</v>
      </c>
      <c r="F10" s="547" t="str">
        <f>cst_wskakunin_owner2_ZIP</f>
        <v/>
      </c>
      <c r="G10" s="547"/>
      <c r="H10" s="547"/>
      <c r="I10" s="547"/>
      <c r="J10" s="547"/>
      <c r="K10" s="547"/>
      <c r="L10" s="495"/>
    </row>
    <row r="11" spans="1:41" s="410" customFormat="1" ht="18" customHeight="1">
      <c r="C11" s="410" t="s">
        <v>13</v>
      </c>
      <c r="F11" s="547" t="str">
        <f>cst_wskakunin_owner2__address</f>
        <v/>
      </c>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row>
    <row r="12" spans="1:41" s="410" customFormat="1" ht="18" customHeight="1">
      <c r="B12" s="270"/>
      <c r="C12" s="270" t="s">
        <v>14</v>
      </c>
      <c r="D12" s="270"/>
      <c r="E12" s="270"/>
      <c r="F12" s="558" t="str">
        <f>cst_wskakunin_owner2_TEL</f>
        <v/>
      </c>
      <c r="G12" s="558"/>
      <c r="H12" s="558"/>
      <c r="I12" s="558"/>
      <c r="J12" s="558"/>
      <c r="K12" s="558"/>
      <c r="L12" s="558"/>
      <c r="M12" s="558"/>
      <c r="N12" s="558"/>
      <c r="O12" s="270"/>
      <c r="P12" s="270"/>
      <c r="Q12" s="270"/>
      <c r="R12" s="270"/>
      <c r="S12" s="270"/>
      <c r="T12" s="270"/>
      <c r="U12" s="270"/>
      <c r="V12" s="270"/>
      <c r="W12" s="270"/>
      <c r="X12" s="270"/>
      <c r="Y12" s="270"/>
      <c r="Z12" s="270"/>
      <c r="AA12" s="270"/>
      <c r="AB12" s="270"/>
      <c r="AC12" s="270"/>
      <c r="AD12" s="270"/>
      <c r="AE12" s="270"/>
    </row>
    <row r="13" spans="1:41" ht="18" customHeight="1">
      <c r="B13" s="423"/>
      <c r="C13" s="430"/>
      <c r="D13" s="430"/>
      <c r="E13" s="430"/>
      <c r="F13" s="430"/>
      <c r="G13" s="430"/>
      <c r="H13" s="430"/>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N13" s="496" t="str">
        <f ca="1">IF(AND(cst_wsjob_JOB_KIND="中間検査",cst_wskakunin_owner2__space&lt;&gt;"",cst__output_sheetname="取下げ届"),"○","")</f>
        <v/>
      </c>
      <c r="AO13" s="496" t="s">
        <v>3204</v>
      </c>
    </row>
    <row r="14" spans="1:41" s="410" customFormat="1" ht="18" customHeight="1">
      <c r="C14" s="552" t="s">
        <v>11</v>
      </c>
      <c r="D14" s="552"/>
      <c r="E14" s="552"/>
      <c r="F14" s="555" t="str">
        <f>cst_wskakunin_owner3__space3</f>
        <v/>
      </c>
      <c r="G14" s="555"/>
      <c r="H14" s="555"/>
      <c r="I14" s="555"/>
      <c r="J14" s="555"/>
      <c r="K14" s="555"/>
      <c r="L14" s="555"/>
      <c r="M14" s="555"/>
      <c r="N14" s="555"/>
      <c r="O14" s="555"/>
      <c r="P14" s="555"/>
      <c r="Q14" s="555"/>
      <c r="R14" s="555"/>
      <c r="S14" s="555"/>
      <c r="T14" s="555"/>
      <c r="U14" s="555"/>
      <c r="V14" s="555"/>
      <c r="W14" s="555"/>
      <c r="X14" s="555"/>
      <c r="Y14" s="555"/>
      <c r="Z14" s="555"/>
      <c r="AA14" s="555"/>
      <c r="AB14" s="552"/>
    </row>
    <row r="15" spans="1:41" s="410" customFormat="1" ht="18" customHeight="1">
      <c r="C15" s="552"/>
      <c r="D15" s="552"/>
      <c r="E15" s="552"/>
      <c r="F15" s="555"/>
      <c r="G15" s="555"/>
      <c r="H15" s="555"/>
      <c r="I15" s="555"/>
      <c r="J15" s="555"/>
      <c r="K15" s="555"/>
      <c r="L15" s="555"/>
      <c r="M15" s="555"/>
      <c r="N15" s="555"/>
      <c r="O15" s="555"/>
      <c r="P15" s="555"/>
      <c r="Q15" s="555"/>
      <c r="R15" s="555"/>
      <c r="S15" s="555"/>
      <c r="T15" s="555"/>
      <c r="U15" s="555"/>
      <c r="V15" s="555"/>
      <c r="W15" s="555"/>
      <c r="X15" s="555"/>
      <c r="Y15" s="555"/>
      <c r="Z15" s="555"/>
      <c r="AA15" s="555"/>
      <c r="AB15" s="552"/>
    </row>
    <row r="16" spans="1:41" s="410" customFormat="1" ht="18" customHeight="1">
      <c r="C16" s="410" t="s">
        <v>12</v>
      </c>
      <c r="F16" s="547" t="str">
        <f>cst_wskakunin_owner3_ZIP</f>
        <v/>
      </c>
      <c r="G16" s="547"/>
      <c r="H16" s="547"/>
      <c r="I16" s="547"/>
      <c r="J16" s="547"/>
      <c r="K16" s="547"/>
      <c r="L16" s="495"/>
    </row>
    <row r="17" spans="2:31" s="410" customFormat="1" ht="18" customHeight="1">
      <c r="C17" s="410" t="s">
        <v>13</v>
      </c>
      <c r="F17" s="547" t="str">
        <f>cst_wskakunin_owner3__address</f>
        <v/>
      </c>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row>
    <row r="18" spans="2:31" s="410" customFormat="1" ht="18" customHeight="1">
      <c r="B18" s="270"/>
      <c r="C18" s="270" t="s">
        <v>14</v>
      </c>
      <c r="D18" s="270"/>
      <c r="E18" s="270"/>
      <c r="F18" s="558" t="str">
        <f>cst_wskakunin_owner3_TEL</f>
        <v/>
      </c>
      <c r="G18" s="558"/>
      <c r="H18" s="558"/>
      <c r="I18" s="558"/>
      <c r="J18" s="558"/>
      <c r="K18" s="558"/>
      <c r="L18" s="558"/>
      <c r="M18" s="558"/>
      <c r="N18" s="558"/>
      <c r="O18" s="270"/>
      <c r="P18" s="270"/>
      <c r="Q18" s="270"/>
      <c r="R18" s="270"/>
      <c r="S18" s="270"/>
      <c r="T18" s="270"/>
      <c r="U18" s="270"/>
      <c r="V18" s="270"/>
      <c r="W18" s="270"/>
      <c r="X18" s="270"/>
      <c r="Y18" s="270"/>
      <c r="Z18" s="270"/>
      <c r="AA18" s="270"/>
      <c r="AB18" s="270"/>
      <c r="AC18" s="270"/>
      <c r="AD18" s="270"/>
      <c r="AE18" s="270"/>
    </row>
  </sheetData>
  <mergeCells count="13">
    <mergeCell ref="F18:N18"/>
    <mergeCell ref="F12:N12"/>
    <mergeCell ref="C14:E15"/>
    <mergeCell ref="F14:AA15"/>
    <mergeCell ref="AB14:AB15"/>
    <mergeCell ref="F16:K16"/>
    <mergeCell ref="F17:AC17"/>
    <mergeCell ref="F11:AC11"/>
    <mergeCell ref="A1:AG1"/>
    <mergeCell ref="C8:E9"/>
    <mergeCell ref="F8:AA9"/>
    <mergeCell ref="AB8:AB9"/>
    <mergeCell ref="F10:K10"/>
  </mergeCells>
  <phoneticPr fontId="57"/>
  <pageMargins left="0.70866141732283472" right="0.70866141732283472" top="0.74803149606299213" bottom="0.74803149606299213" header="0.31496062992125984" footer="0.31496062992125984"/>
  <pageSetup paperSize="9"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zoomScaleNormal="100" workbookViewId="0"/>
  </sheetViews>
  <sheetFormatPr defaultColWidth="2.625" defaultRowHeight="13.5"/>
  <cols>
    <col min="39" max="39" width="6" hidden="1" customWidth="1"/>
    <col min="40" max="40" width="29.625" hidden="1" customWidth="1"/>
  </cols>
  <sheetData>
    <row r="1" spans="1:40">
      <c r="A1" s="603" t="str">
        <f ca="1">IFERROR(VLOOKUP("○",AM1:AN8,2,FALSE),"")</f>
        <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row>
    <row r="2" spans="1:40">
      <c r="A2" s="430"/>
      <c r="B2" s="430"/>
      <c r="C2" s="430"/>
      <c r="D2" s="430"/>
      <c r="E2" s="430"/>
      <c r="F2" s="430"/>
      <c r="G2" s="430"/>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M2" s="496" t="str">
        <f>IF(AND(cst_wskakunin_owner2__space&lt;&gt;"",cst__output_sheetname="工事監理計画届"),"○","")</f>
        <v/>
      </c>
      <c r="AN2" s="496" t="s">
        <v>3201</v>
      </c>
    </row>
    <row r="3" spans="1:40">
      <c r="A3" s="430"/>
      <c r="B3" s="430"/>
      <c r="C3" s="430"/>
      <c r="D3" s="430"/>
      <c r="E3" s="430"/>
      <c r="F3" s="430"/>
      <c r="G3" s="430"/>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M3" s="496" t="str">
        <f>IF(AND(cst_wskakunin_owner2__space&lt;&gt;"",cst__output_sheetname="軽微な変更説明書"),"○","")</f>
        <v/>
      </c>
      <c r="AN3" s="496" t="s">
        <v>3202</v>
      </c>
    </row>
    <row r="4" spans="1:40">
      <c r="A4" s="423" t="s">
        <v>3198</v>
      </c>
      <c r="B4" s="430"/>
      <c r="C4" s="430"/>
      <c r="D4" s="430"/>
      <c r="E4" s="430"/>
      <c r="F4" s="430"/>
      <c r="G4" s="430"/>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M4" s="496" t="str">
        <f ca="1">IF(AND(OR(cst_wsjob_JOB_KIND="確認申請",cst_wsjob_JOB_KIND="計画変更"),cst_wskakunin_owner2__space&lt;&gt;"",cst__output_sheetname="取下げ届"),"○","")</f>
        <v/>
      </c>
      <c r="AN4" s="496" t="s">
        <v>3203</v>
      </c>
    </row>
    <row r="5" spans="1:40">
      <c r="A5" s="423"/>
      <c r="B5" s="430"/>
      <c r="C5" s="430"/>
      <c r="D5" s="430"/>
      <c r="E5" s="430"/>
      <c r="F5" s="430"/>
      <c r="G5" s="430"/>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M5" s="496" t="str">
        <f ca="1">IF(AND(cst_wsjob_JOB_KIND="中間検査",cst_wskakunin_owner2__space&lt;&gt;"",cst__output_sheetname="取下げ届"),"○","")</f>
        <v/>
      </c>
      <c r="AN5" s="496" t="s">
        <v>3204</v>
      </c>
    </row>
    <row r="6" spans="1:40">
      <c r="A6" s="423"/>
      <c r="B6" s="423"/>
      <c r="C6" s="423"/>
      <c r="D6" s="423" t="s">
        <v>13</v>
      </c>
      <c r="E6" s="423"/>
      <c r="F6" s="860" t="str">
        <f>cst_wskakunin_owner2__address</f>
        <v/>
      </c>
      <c r="G6" s="860"/>
      <c r="H6" s="860"/>
      <c r="I6" s="860"/>
      <c r="J6" s="860"/>
      <c r="K6" s="860"/>
      <c r="L6" s="860"/>
      <c r="M6" s="860"/>
      <c r="N6" s="860"/>
      <c r="O6" s="860"/>
      <c r="P6" s="860"/>
      <c r="Q6" s="860"/>
      <c r="R6" s="860"/>
      <c r="S6" s="860"/>
      <c r="T6" s="860"/>
      <c r="U6" s="860"/>
      <c r="V6" s="860"/>
      <c r="W6" s="860"/>
      <c r="X6" s="860"/>
      <c r="Y6" s="860"/>
      <c r="Z6" s="860"/>
      <c r="AA6" s="860"/>
      <c r="AB6" s="860"/>
      <c r="AC6" s="860"/>
      <c r="AD6" s="860"/>
      <c r="AE6" s="423"/>
      <c r="AF6" s="423"/>
      <c r="AM6" s="496" t="str">
        <f ca="1">IF(AND(cst_wsjob_JOB_KIND="完了検査",cst_wskakunin_owner2__space&lt;&gt;"",cst__output_sheetname="取下げ届"),"○","")</f>
        <v/>
      </c>
      <c r="AN6" s="496" t="s">
        <v>3205</v>
      </c>
    </row>
    <row r="7" spans="1:40">
      <c r="A7" s="423"/>
      <c r="B7" s="423"/>
      <c r="C7" s="423"/>
      <c r="D7" s="423"/>
      <c r="E7" s="423"/>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23"/>
      <c r="AF7" s="423"/>
      <c r="AM7" s="496" t="str">
        <f ca="1">IF(AND(cst_wsjob_JOB_SET_KIND="",cst_wsjob_JOB_KIND="",cst_wskakunin_owner2__space&lt;&gt;"",cst__output_sheetname="取下げ届"),"○","")</f>
        <v/>
      </c>
      <c r="AN7" s="496" t="s">
        <v>3206</v>
      </c>
    </row>
    <row r="8" spans="1:40">
      <c r="A8" s="430"/>
      <c r="B8" s="430"/>
      <c r="C8" s="430"/>
      <c r="D8" s="423" t="s">
        <v>11</v>
      </c>
      <c r="E8" s="423"/>
      <c r="F8" s="609" t="str">
        <f>cst_wskakunin_owner2__space</f>
        <v/>
      </c>
      <c r="G8" s="609"/>
      <c r="H8" s="609"/>
      <c r="I8" s="609"/>
      <c r="J8" s="609"/>
      <c r="K8" s="609"/>
      <c r="L8" s="609"/>
      <c r="M8" s="609"/>
      <c r="N8" s="609"/>
      <c r="O8" s="609"/>
      <c r="P8" s="609"/>
      <c r="Q8" s="609"/>
      <c r="R8" s="609"/>
      <c r="S8" s="609"/>
      <c r="T8" s="609"/>
      <c r="U8" s="609"/>
      <c r="V8" s="609"/>
      <c r="W8" s="609"/>
      <c r="X8" s="609"/>
      <c r="Y8" s="609"/>
      <c r="Z8" s="609"/>
      <c r="AA8" s="609"/>
      <c r="AB8" s="609"/>
      <c r="AC8" s="609"/>
      <c r="AD8" s="609"/>
      <c r="AE8" s="423"/>
      <c r="AF8" s="423"/>
      <c r="AM8" s="496" t="str">
        <f>IF(AND(cst_wskakunin_owner2__space&lt;&gt;"",cst__output_sheetname="計画廃止届"),"○","")</f>
        <v/>
      </c>
      <c r="AN8" s="496" t="s">
        <v>3207</v>
      </c>
    </row>
    <row r="9" spans="1:40">
      <c r="A9" s="430"/>
      <c r="B9" s="430"/>
      <c r="C9" s="430"/>
      <c r="D9" s="430"/>
      <c r="E9" s="430"/>
      <c r="F9" s="429"/>
      <c r="G9" s="429"/>
      <c r="H9" s="486"/>
      <c r="I9" s="486"/>
      <c r="J9" s="486"/>
      <c r="K9" s="486"/>
      <c r="L9" s="486"/>
      <c r="M9" s="486"/>
      <c r="N9" s="486"/>
      <c r="O9" s="486"/>
      <c r="P9" s="486"/>
      <c r="Q9" s="486"/>
      <c r="R9" s="486"/>
      <c r="S9" s="486"/>
      <c r="T9" s="486"/>
      <c r="U9" s="486"/>
      <c r="V9" s="486"/>
      <c r="W9" s="486"/>
      <c r="X9" s="486"/>
      <c r="Y9" s="486"/>
      <c r="Z9" s="486"/>
      <c r="AA9" s="486"/>
      <c r="AB9" s="486"/>
      <c r="AC9" s="486"/>
      <c r="AD9" s="486"/>
      <c r="AE9" s="423"/>
      <c r="AF9" s="423"/>
    </row>
    <row r="10" spans="1:40">
      <c r="A10" s="430"/>
      <c r="B10" s="430"/>
      <c r="C10" s="430"/>
      <c r="D10" s="430"/>
      <c r="E10" s="430"/>
      <c r="F10" s="429"/>
      <c r="G10" s="429"/>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23"/>
      <c r="AF10" s="423"/>
    </row>
    <row r="11" spans="1:40">
      <c r="A11" s="423"/>
      <c r="B11" s="423"/>
      <c r="C11" s="423"/>
      <c r="D11" s="423" t="s">
        <v>13</v>
      </c>
      <c r="E11" s="423"/>
      <c r="F11" s="860" t="str">
        <f>cst_wskakunin_owner3__address</f>
        <v/>
      </c>
      <c r="G11" s="860"/>
      <c r="H11" s="860"/>
      <c r="I11" s="860"/>
      <c r="J11" s="860"/>
      <c r="K11" s="860"/>
      <c r="L11" s="860"/>
      <c r="M11" s="860"/>
      <c r="N11" s="860"/>
      <c r="O11" s="860"/>
      <c r="P11" s="860"/>
      <c r="Q11" s="860"/>
      <c r="R11" s="860"/>
      <c r="S11" s="860"/>
      <c r="T11" s="860"/>
      <c r="U11" s="860"/>
      <c r="V11" s="860"/>
      <c r="W11" s="860"/>
      <c r="X11" s="860"/>
      <c r="Y11" s="860"/>
      <c r="Z11" s="860"/>
      <c r="AA11" s="860"/>
      <c r="AB11" s="860"/>
      <c r="AC11" s="860"/>
      <c r="AD11" s="860"/>
      <c r="AE11" s="423"/>
      <c r="AF11" s="423"/>
    </row>
    <row r="12" spans="1:40">
      <c r="A12" s="423"/>
      <c r="B12" s="423"/>
      <c r="C12" s="423"/>
      <c r="D12" s="423"/>
      <c r="E12" s="423"/>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23"/>
      <c r="AF12" s="423"/>
    </row>
    <row r="13" spans="1:40">
      <c r="A13" s="430"/>
      <c r="B13" s="430"/>
      <c r="C13" s="430"/>
      <c r="D13" s="423" t="s">
        <v>11</v>
      </c>
      <c r="E13" s="423"/>
      <c r="F13" s="609" t="str">
        <f>cst_wskakunin_owner3__space</f>
        <v/>
      </c>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423"/>
      <c r="AF13" s="423"/>
    </row>
    <row r="14" spans="1:40">
      <c r="A14" s="430"/>
      <c r="B14" s="430"/>
      <c r="C14" s="430"/>
      <c r="D14" s="430"/>
      <c r="E14" s="430"/>
      <c r="F14" s="430"/>
      <c r="G14" s="430"/>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row>
    <row r="15" spans="1:40">
      <c r="A15" s="430"/>
      <c r="B15" s="430"/>
      <c r="C15" s="430"/>
      <c r="D15" s="430"/>
      <c r="E15" s="430"/>
      <c r="F15" s="430"/>
      <c r="G15" s="430"/>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row>
    <row r="16" spans="1:40">
      <c r="A16" s="430"/>
      <c r="B16" s="430"/>
      <c r="C16" s="430"/>
      <c r="D16" s="430"/>
      <c r="E16" s="430"/>
      <c r="F16" s="430"/>
      <c r="G16" s="430"/>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row>
  </sheetData>
  <mergeCells count="5">
    <mergeCell ref="F6:AD6"/>
    <mergeCell ref="F8:AD8"/>
    <mergeCell ref="F11:AD11"/>
    <mergeCell ref="F13:AD13"/>
    <mergeCell ref="A1:AG1"/>
  </mergeCells>
  <phoneticPr fontId="57"/>
  <pageMargins left="0.70866141732283472" right="0.70866141732283472" top="0.74803149606299213" bottom="0.74803149606299213" header="0.31496062992125984" footer="0.31496062992125984"/>
  <pageSetup paperSize="9"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N28"/>
  <sheetViews>
    <sheetView workbookViewId="0">
      <selection activeCell="I18" sqref="I18"/>
    </sheetView>
  </sheetViews>
  <sheetFormatPr defaultColWidth="3.125" defaultRowHeight="13.5"/>
  <cols>
    <col min="2" max="2" width="6.875" customWidth="1"/>
    <col min="3" max="3" width="30.875" bestFit="1" customWidth="1"/>
    <col min="4" max="14" width="6.75" customWidth="1"/>
  </cols>
  <sheetData>
    <row r="9" spans="2:14">
      <c r="B9" s="861" t="s">
        <v>3156</v>
      </c>
      <c r="C9" s="862"/>
      <c r="D9" s="862"/>
      <c r="E9" s="862"/>
      <c r="F9" s="862"/>
      <c r="G9" s="862"/>
      <c r="H9" s="862"/>
      <c r="I9" s="862"/>
      <c r="J9" s="862"/>
      <c r="K9" s="862"/>
      <c r="L9" s="862"/>
      <c r="M9" s="862"/>
      <c r="N9" s="863"/>
    </row>
    <row r="10" spans="2:14">
      <c r="B10" s="864"/>
      <c r="C10" s="865"/>
      <c r="D10" s="865"/>
      <c r="E10" s="865"/>
      <c r="F10" s="865"/>
      <c r="G10" s="865"/>
      <c r="H10" s="865"/>
      <c r="I10" s="865"/>
      <c r="J10" s="865"/>
      <c r="K10" s="865"/>
      <c r="L10" s="865"/>
      <c r="M10" s="865"/>
      <c r="N10" s="866"/>
    </row>
    <row r="11" spans="2:14">
      <c r="B11" s="867"/>
      <c r="C11" s="868"/>
      <c r="D11" s="868"/>
      <c r="E11" s="868"/>
      <c r="F11" s="868"/>
      <c r="G11" s="868"/>
      <c r="H11" s="868"/>
      <c r="I11" s="868"/>
      <c r="J11" s="868"/>
      <c r="K11" s="868"/>
      <c r="L11" s="868"/>
      <c r="M11" s="868"/>
      <c r="N11" s="869"/>
    </row>
    <row r="16" spans="2:14">
      <c r="C16" s="870" t="s">
        <v>3157</v>
      </c>
      <c r="D16" s="871" t="s">
        <v>1310</v>
      </c>
      <c r="E16" s="871"/>
      <c r="F16" s="871"/>
      <c r="G16" s="871" t="s">
        <v>3158</v>
      </c>
      <c r="H16" s="871"/>
      <c r="I16" s="871"/>
    </row>
    <row r="17" spans="3:9">
      <c r="C17" s="870"/>
      <c r="D17" s="434" t="s">
        <v>1298</v>
      </c>
      <c r="E17" s="434" t="s">
        <v>1299</v>
      </c>
      <c r="F17" s="434" t="s">
        <v>2664</v>
      </c>
      <c r="G17" s="434" t="s">
        <v>3159</v>
      </c>
      <c r="H17" s="434" t="s">
        <v>3160</v>
      </c>
      <c r="I17" s="434" t="s">
        <v>3161</v>
      </c>
    </row>
    <row r="18" spans="3:9">
      <c r="C18" s="323" t="s">
        <v>639</v>
      </c>
      <c r="D18" s="419" t="s">
        <v>3015</v>
      </c>
      <c r="E18" s="419" t="s">
        <v>3015</v>
      </c>
      <c r="F18" s="419" t="s">
        <v>3015</v>
      </c>
      <c r="G18" s="419" t="s">
        <v>3015</v>
      </c>
      <c r="H18" s="419" t="s">
        <v>3015</v>
      </c>
      <c r="I18" s="419" t="s">
        <v>3015</v>
      </c>
    </row>
    <row r="19" spans="3:9">
      <c r="C19" s="323" t="s">
        <v>117</v>
      </c>
      <c r="D19" s="419" t="s">
        <v>3162</v>
      </c>
      <c r="E19" s="419" t="s">
        <v>3163</v>
      </c>
      <c r="F19" s="419" t="s">
        <v>3163</v>
      </c>
      <c r="G19" s="419" t="s">
        <v>3163</v>
      </c>
      <c r="H19" s="419" t="s">
        <v>3163</v>
      </c>
      <c r="I19" s="419" t="s">
        <v>3163</v>
      </c>
    </row>
    <row r="20" spans="3:9">
      <c r="C20" s="323" t="s">
        <v>3085</v>
      </c>
      <c r="D20" s="419" t="s">
        <v>3015</v>
      </c>
      <c r="E20" s="419" t="s">
        <v>3163</v>
      </c>
      <c r="F20" s="419" t="s">
        <v>3163</v>
      </c>
      <c r="G20" s="419" t="s">
        <v>3163</v>
      </c>
      <c r="H20" s="419" t="s">
        <v>3163</v>
      </c>
      <c r="I20" s="419" t="s">
        <v>3163</v>
      </c>
    </row>
    <row r="21" spans="3:9">
      <c r="C21" s="323" t="s">
        <v>3164</v>
      </c>
      <c r="D21" s="419" t="s">
        <v>3015</v>
      </c>
      <c r="E21" s="419" t="s">
        <v>3163</v>
      </c>
      <c r="F21" s="419" t="s">
        <v>3163</v>
      </c>
      <c r="G21" s="419" t="s">
        <v>3163</v>
      </c>
      <c r="H21" s="419" t="s">
        <v>3163</v>
      </c>
      <c r="I21" s="419" t="s">
        <v>3163</v>
      </c>
    </row>
    <row r="22" spans="3:9">
      <c r="C22" s="323" t="s">
        <v>2843</v>
      </c>
      <c r="D22" s="419" t="s">
        <v>3015</v>
      </c>
      <c r="E22" s="419" t="s">
        <v>3015</v>
      </c>
      <c r="F22" s="419" t="s">
        <v>3015</v>
      </c>
      <c r="G22" s="419" t="s">
        <v>3163</v>
      </c>
      <c r="H22" s="419" t="s">
        <v>3163</v>
      </c>
      <c r="I22" s="419" t="s">
        <v>3163</v>
      </c>
    </row>
    <row r="23" spans="3:9">
      <c r="C23" s="323" t="s">
        <v>3030</v>
      </c>
      <c r="D23" s="419" t="s">
        <v>3163</v>
      </c>
      <c r="E23" s="419" t="s">
        <v>3163</v>
      </c>
      <c r="F23" s="419" t="s">
        <v>3163</v>
      </c>
      <c r="G23" s="419" t="s">
        <v>3015</v>
      </c>
      <c r="H23" s="419" t="s">
        <v>3015</v>
      </c>
      <c r="I23" s="419" t="s">
        <v>3163</v>
      </c>
    </row>
    <row r="24" spans="3:9">
      <c r="C24" s="323" t="s">
        <v>3086</v>
      </c>
      <c r="D24" s="419" t="s">
        <v>3015</v>
      </c>
      <c r="E24" s="419" t="s">
        <v>3015</v>
      </c>
      <c r="F24" s="419" t="s">
        <v>3015</v>
      </c>
      <c r="G24" s="419" t="s">
        <v>3015</v>
      </c>
      <c r="H24" s="419" t="s">
        <v>3015</v>
      </c>
      <c r="I24" s="419" t="s">
        <v>3015</v>
      </c>
    </row>
    <row r="25" spans="3:9">
      <c r="C25" s="323" t="s">
        <v>2842</v>
      </c>
      <c r="D25" s="419" t="s">
        <v>3015</v>
      </c>
      <c r="E25" s="419" t="s">
        <v>3015</v>
      </c>
      <c r="F25" s="419" t="s">
        <v>3015</v>
      </c>
      <c r="G25" s="419" t="s">
        <v>3163</v>
      </c>
      <c r="H25" s="419" t="s">
        <v>3163</v>
      </c>
      <c r="I25" s="419" t="s">
        <v>3163</v>
      </c>
    </row>
    <row r="26" spans="3:9">
      <c r="C26" s="323" t="s">
        <v>3183</v>
      </c>
      <c r="D26" s="419" t="s">
        <v>3163</v>
      </c>
      <c r="E26" s="419" t="s">
        <v>3163</v>
      </c>
      <c r="F26" s="419" t="s">
        <v>3163</v>
      </c>
      <c r="G26" s="419" t="s">
        <v>3015</v>
      </c>
      <c r="H26" s="419" t="s">
        <v>3015</v>
      </c>
      <c r="I26" s="419" t="s">
        <v>3015</v>
      </c>
    </row>
    <row r="28" spans="3:9">
      <c r="D28" t="s">
        <v>3165</v>
      </c>
    </row>
  </sheetData>
  <mergeCells count="4">
    <mergeCell ref="B9:N11"/>
    <mergeCell ref="C16:C17"/>
    <mergeCell ref="D16:F16"/>
    <mergeCell ref="G16:I16"/>
  </mergeCells>
  <phoneticPr fontId="57"/>
  <conditionalFormatting sqref="D18">
    <cfRule type="expression" dxfId="53" priority="54">
      <formula>AND(cst_wsjob_TARGET_KIND="建築物",OR(cst_wsjob_JOB_KIND="確認申請",cst_wsjob_JOB_KIND="計画変更"),cst__output_sheetname="委任状")</formula>
    </cfRule>
  </conditionalFormatting>
  <conditionalFormatting sqref="E18">
    <cfRule type="expression" dxfId="52" priority="53">
      <formula>AND(OR(wsjob_TARGET_KIND=2,wsjob_TARGET_KIND=3),OR(cst_wsjob_JOB_KIND="確認申請",cst_wsjob_JOB_KIND="計画変更"),cst__output_sheetname="委任状")</formula>
    </cfRule>
  </conditionalFormatting>
  <conditionalFormatting sqref="F18">
    <cfRule type="expression" dxfId="51" priority="52">
      <formula>AND(OR(wsjob_TARGET_KIND=4,wsjob_TARGET_KIND=5),OR(cst_wsjob_JOB_KIND="確認申請",cst_wsjob_JOB_KIND="計画変更"),cst__output_sheetname="委任状")</formula>
    </cfRule>
  </conditionalFormatting>
  <conditionalFormatting sqref="G18">
    <cfRule type="expression" dxfId="50" priority="51">
      <formula>AND(cst_wsjob_JOB_KIND="中間検査",cst__output_sheetname="委任状")</formula>
    </cfRule>
  </conditionalFormatting>
  <conditionalFormatting sqref="H18">
    <cfRule type="expression" dxfId="49" priority="50">
      <formula>AND(cst_wsjob_JOB_KIND="完了検査",cst__output_sheetname="委任状")</formula>
    </cfRule>
  </conditionalFormatting>
  <conditionalFormatting sqref="D19">
    <cfRule type="expression" dxfId="48" priority="49">
      <formula>AND(cst_wsjob_TARGET_KIND="建築物",OR(cst_wsjob_JOB_KIND="確認申請",cst_wsjob_JOB_KIND="計画変更"),cst__output_sheetname="建築工事届")</formula>
    </cfRule>
  </conditionalFormatting>
  <conditionalFormatting sqref="E19">
    <cfRule type="expression" dxfId="47" priority="48">
      <formula>AND(OR(wsjob_TARGET_KIND=2,wsjob_TARGET_KIND=3),OR(cst_wsjob_JOB_KIND="確認申請",cst_wsjob_JOB_KIND="計画変更"),cst__output_sheetname="建築工事届")</formula>
    </cfRule>
  </conditionalFormatting>
  <conditionalFormatting sqref="F19">
    <cfRule type="expression" dxfId="46" priority="47">
      <formula>AND(OR(wsjob_TARGET_KIND=4,wsjob_TARGET_KIND=5),OR(cst_wsjob_JOB_KIND="確認申請",cst_wsjob_JOB_KIND="計画変更"),cst__output_sheetname="建築工事届")</formula>
    </cfRule>
  </conditionalFormatting>
  <conditionalFormatting sqref="G19">
    <cfRule type="expression" dxfId="45" priority="46">
      <formula>AND(cst_wsjob_JOB_KIND="中間検査",cst__output_sheetname="建築工事届")</formula>
    </cfRule>
  </conditionalFormatting>
  <conditionalFormatting sqref="H19">
    <cfRule type="expression" dxfId="44" priority="45">
      <formula>AND(cst_wsjob_JOB_KIND="完了検査",cst__output_sheetname="建築工事届")</formula>
    </cfRule>
  </conditionalFormatting>
  <conditionalFormatting sqref="H20">
    <cfRule type="expression" dxfId="43" priority="44">
      <formula>AND(cst_wsjob_JOB_KIND="完了検査",cst__output_sheetname="工事監理計画届")</formula>
    </cfRule>
  </conditionalFormatting>
  <conditionalFormatting sqref="H21">
    <cfRule type="expression" dxfId="42" priority="43">
      <formula>AND(cst_wsjob_JOB_KIND="完了検査",cst__output_sheetname="浄化槽概要書・通知書_静岡県")</formula>
    </cfRule>
  </conditionalFormatting>
  <conditionalFormatting sqref="H22">
    <cfRule type="expression" dxfId="41" priority="42">
      <formula>AND(cst_wsjob_JOB_KIND="完了検査",cst__output_sheetname="記載事項変更届")</formula>
    </cfRule>
  </conditionalFormatting>
  <conditionalFormatting sqref="H23">
    <cfRule type="expression" dxfId="40" priority="41">
      <formula>AND(cst_wsjob_JOB_KIND="完了検査",cst__output_sheetname="軽微な変更説明書")</formula>
    </cfRule>
  </conditionalFormatting>
  <conditionalFormatting sqref="H24">
    <cfRule type="expression" dxfId="39" priority="40">
      <formula>AND(cst_wsjob_JOB_KIND="完了検査",cst__output_sheetname="取下げ届")</formula>
    </cfRule>
  </conditionalFormatting>
  <conditionalFormatting sqref="H25">
    <cfRule type="expression" dxfId="38" priority="39">
      <formula>AND(cst_wsjob_JOB_KIND="完了検査",cst__output_sheetname="計画廃止届")</formula>
    </cfRule>
  </conditionalFormatting>
  <conditionalFormatting sqref="G20">
    <cfRule type="expression" dxfId="37" priority="38">
      <formula>AND(cst_wsjob_JOB_KIND="中間検査",cst__output_sheetname="工事監理計画届")</formula>
    </cfRule>
  </conditionalFormatting>
  <conditionalFormatting sqref="G21">
    <cfRule type="expression" dxfId="36" priority="37">
      <formula>AND(cst_wsjob_JOB_KIND="中間検査",cst__output_sheetname="浄化槽概要書・通知書_静岡県")</formula>
    </cfRule>
  </conditionalFormatting>
  <conditionalFormatting sqref="G22">
    <cfRule type="expression" dxfId="35" priority="36">
      <formula>AND(cst_wsjob_JOB_KIND="中間検査",cst__output_sheetname="記載事項変更届")</formula>
    </cfRule>
  </conditionalFormatting>
  <conditionalFormatting sqref="G23">
    <cfRule type="expression" dxfId="34" priority="35">
      <formula>AND(cst_wsjob_JOB_KIND="中間検査",cst__output_sheetname="軽微な変更説明書")</formula>
    </cfRule>
  </conditionalFormatting>
  <conditionalFormatting sqref="G24">
    <cfRule type="expression" dxfId="33" priority="34">
      <formula>AND(cst_wsjob_JOB_KIND="中間検査",cst__output_sheetname="取下げ届")</formula>
    </cfRule>
  </conditionalFormatting>
  <conditionalFormatting sqref="G25">
    <cfRule type="expression" dxfId="32" priority="33">
      <formula>AND(cst_wsjob_JOB_KIND="中間検査",cst__output_sheetname="計画廃止届")</formula>
    </cfRule>
  </conditionalFormatting>
  <conditionalFormatting sqref="D20">
    <cfRule type="expression" dxfId="31" priority="32">
      <formula>AND(cst_wsjob_TARGET_KIND="建築物",OR(cst_wsjob_JOB_KIND="確認申請",cst_wsjob_JOB_KIND="計画変更"),cst__output_sheetname="工事監理計画届")</formula>
    </cfRule>
  </conditionalFormatting>
  <conditionalFormatting sqref="D21">
    <cfRule type="expression" dxfId="30" priority="31">
      <formula>AND(cst_wsjob_TARGET_KIND="建築物",OR(cst_wsjob_JOB_KIND="確認申請",cst_wsjob_JOB_KIND="計画変更"),cst__output_sheetname="浄化槽概要書・通知書_静岡県")</formula>
    </cfRule>
  </conditionalFormatting>
  <conditionalFormatting sqref="D22">
    <cfRule type="expression" dxfId="29" priority="30">
      <formula>AND(cst_wsjob_TARGET_KIND="建築物",OR(cst_wsjob_JOB_KIND="確認申請",cst_wsjob_JOB_KIND="計画変更"),cst__output_sheetname="記載事項変更届")</formula>
    </cfRule>
  </conditionalFormatting>
  <conditionalFormatting sqref="D23">
    <cfRule type="expression" dxfId="28" priority="29">
      <formula>AND(cst_wsjob_TARGET_KIND="建築物",OR(cst_wsjob_JOB_KIND="確認申請",cst_wsjob_JOB_KIND="計画変更"),cst__output_sheetname="軽微な変更説明書")</formula>
    </cfRule>
  </conditionalFormatting>
  <conditionalFormatting sqref="D24">
    <cfRule type="expression" dxfId="27" priority="28">
      <formula>AND(cst_wsjob_TARGET_KIND="建築物",OR(cst_wsjob_JOB_KIND="確認申請",cst_wsjob_JOB_KIND="計画変更"),cst__output_sheetname="取下げ届")</formula>
    </cfRule>
  </conditionalFormatting>
  <conditionalFormatting sqref="D25">
    <cfRule type="expression" dxfId="26" priority="27">
      <formula>AND(cst_wsjob_TARGET_KIND="建築物",OR(cst_wsjob_JOB_KIND="確認申請",cst_wsjob_JOB_KIND="計画変更"),cst__output_sheetname="計画廃止届")</formula>
    </cfRule>
  </conditionalFormatting>
  <conditionalFormatting sqref="E20">
    <cfRule type="expression" dxfId="25" priority="26">
      <formula>AND(OR(wsjob_TARGET_KIND=2,wsjob_TARGET_KIND=3),OR(cst_wsjob_JOB_KIND="確認申請",cst_wsjob_JOB_KIND="計画変更"),cst__output_sheetname="工事監理計画届")</formula>
    </cfRule>
  </conditionalFormatting>
  <conditionalFormatting sqref="E21">
    <cfRule type="expression" dxfId="24" priority="25">
      <formula>AND(OR(wsjob_TARGET_KIND=2,wsjob_TARGET_KIND=3),OR(cst_wsjob_JOB_KIND="確認申請",cst_wsjob_JOB_KIND="計画変更"),cst__output_sheetname="浄化槽概要書・通知書_静岡県")</formula>
    </cfRule>
  </conditionalFormatting>
  <conditionalFormatting sqref="E22">
    <cfRule type="expression" dxfId="23" priority="24">
      <formula>AND(OR(wsjob_TARGET_KIND=2,wsjob_TARGET_KIND=3),OR(cst_wsjob_JOB_KIND="確認申請",cst_wsjob_JOB_KIND="計画変更"),cst__output_sheetname="記載事項変更届")</formula>
    </cfRule>
  </conditionalFormatting>
  <conditionalFormatting sqref="E23">
    <cfRule type="expression" dxfId="22" priority="23">
      <formula>AND(OR(wsjob_TARGET_KIND=2,wsjob_TARGET_KIND=3),OR(cst_wsjob_JOB_KIND="確認申請",cst_wsjob_JOB_KIND="計画変更"),cst__output_sheetname="軽微な変更説明書")</formula>
    </cfRule>
  </conditionalFormatting>
  <conditionalFormatting sqref="E24">
    <cfRule type="expression" dxfId="21" priority="22">
      <formula>AND(OR(wsjob_TARGET_KIND=2,wsjob_TARGET_KIND=3),OR(cst_wsjob_JOB_KIND="確認申請",cst_wsjob_JOB_KIND="計画変更"),cst__output_sheetname="取下げ届")</formula>
    </cfRule>
  </conditionalFormatting>
  <conditionalFormatting sqref="E25">
    <cfRule type="expression" dxfId="20" priority="21">
      <formula>AND(OR(wsjob_TARGET_KIND=2,wsjob_TARGET_KIND=3),OR(cst_wsjob_JOB_KIND="確認申請",cst_wsjob_JOB_KIND="計画変更"),cst__output_sheetname="計画廃止届")</formula>
    </cfRule>
  </conditionalFormatting>
  <conditionalFormatting sqref="F20">
    <cfRule type="expression" dxfId="19" priority="20">
      <formula>AND(OR(wsjob_TARGET_KIND=4,wsjob_TARGET_KIND=5),OR(cst_wsjob_JOB_KIND="確認申請",cst_wsjob_JOB_KIND="計画変更"),cst__output_sheetname="工事監理計画届")</formula>
    </cfRule>
  </conditionalFormatting>
  <conditionalFormatting sqref="F21">
    <cfRule type="expression" dxfId="18" priority="19">
      <formula>AND(OR(wsjob_TARGET_KIND=4,wsjob_TARGET_KIND=5),OR(cst_wsjob_JOB_KIND="確認申請",cst_wsjob_JOB_KIND="計画変更"),cst__output_sheetname="浄化槽概要書・通知書_静岡県")</formula>
    </cfRule>
  </conditionalFormatting>
  <conditionalFormatting sqref="F22">
    <cfRule type="expression" dxfId="17" priority="18">
      <formula>AND(OR(wsjob_TARGET_KIND=4,wsjob_TARGET_KIND=5),OR(cst_wsjob_JOB_KIND="確認申請",cst_wsjob_JOB_KIND="計画変更"),cst__output_sheetname="記載事項変更届")</formula>
    </cfRule>
  </conditionalFormatting>
  <conditionalFormatting sqref="F23">
    <cfRule type="expression" dxfId="16" priority="17">
      <formula>AND(OR(wsjob_TARGET_KIND=4,wsjob_TARGET_KIND=5),OR(cst_wsjob_JOB_KIND="確認申請",cst_wsjob_JOB_KIND="計画変更"),cst__output_sheetname="軽微な変更説明書")</formula>
    </cfRule>
  </conditionalFormatting>
  <conditionalFormatting sqref="F24">
    <cfRule type="expression" dxfId="15" priority="16">
      <formula>AND(OR(wsjob_TARGET_KIND=4,wsjob_TARGET_KIND=5),OR(cst_wsjob_JOB_KIND="確認申請",cst_wsjob_JOB_KIND="計画変更"),cst__output_sheetname="取下げ届")</formula>
    </cfRule>
  </conditionalFormatting>
  <conditionalFormatting sqref="F25">
    <cfRule type="expression" dxfId="14" priority="15">
      <formula>AND(OR(wsjob_TARGET_KIND=4,wsjob_TARGET_KIND=5),OR(cst_wsjob_JOB_KIND="確認申請",cst_wsjob_JOB_KIND="計画変更"),cst__output_sheetname="計画廃止届")</formula>
    </cfRule>
  </conditionalFormatting>
  <conditionalFormatting sqref="I18">
    <cfRule type="expression" dxfId="13" priority="14">
      <formula>AND(cst_wsjob_JOB_KIND="その他申請",cst__output_sheetname="委任状")</formula>
    </cfRule>
  </conditionalFormatting>
  <conditionalFormatting sqref="I19">
    <cfRule type="expression" dxfId="12" priority="13">
      <formula>AND(cst_wsjob_JOB_KIND="その他申請",cst__output_sheetname="建築工事届")</formula>
    </cfRule>
  </conditionalFormatting>
  <conditionalFormatting sqref="I20">
    <cfRule type="expression" dxfId="11" priority="12">
      <formula>AND(cst_wsjob_JOB_KIND="その他申請",cst__output_sheetname="工事監理計画届")</formula>
    </cfRule>
  </conditionalFormatting>
  <conditionalFormatting sqref="I21">
    <cfRule type="expression" dxfId="10" priority="11">
      <formula>AND(cst_wsjob_JOB_KIND="その他申請",cst__output_sheetname="浄化槽概要書・通知書_静岡県")</formula>
    </cfRule>
  </conditionalFormatting>
  <conditionalFormatting sqref="I22">
    <cfRule type="expression" dxfId="9" priority="10">
      <formula>AND(cst_wsjob_JOB_KIND="その他申請",cst__output_sheetname="記載事項変更届")</formula>
    </cfRule>
  </conditionalFormatting>
  <conditionalFormatting sqref="I23">
    <cfRule type="expression" dxfId="8" priority="9">
      <formula>AND(cst_wsjob_JOB_KIND="その他申請",cst__output_sheetname="軽微な変更説明書")</formula>
    </cfRule>
  </conditionalFormatting>
  <conditionalFormatting sqref="I24">
    <cfRule type="expression" dxfId="7" priority="8">
      <formula>AND(cst_wsjob_JOB_KIND="その他申請",cst__output_sheetname="取下げ届")</formula>
    </cfRule>
  </conditionalFormatting>
  <conditionalFormatting sqref="I25">
    <cfRule type="expression" dxfId="6" priority="7">
      <formula>AND(cst_wsjob_JOB_KIND="その他申請",cst__output_sheetname="計画廃止届")</formula>
    </cfRule>
  </conditionalFormatting>
  <conditionalFormatting sqref="D26">
    <cfRule type="expression" dxfId="5" priority="6">
      <formula>AND(cst_wsjob_TARGET_KIND="建築物",OR(cst_wsjob_JOB_KIND="確認申請",cst_wsjob_JOB_KIND="計画変更"),cst__output_sheetname="連絡担当者票")</formula>
    </cfRule>
  </conditionalFormatting>
  <conditionalFormatting sqref="E26">
    <cfRule type="expression" dxfId="4" priority="5">
      <formula>AND(OR(wsjob_TARGET_KIND=2,wsjob_TARGET_KIND=3),OR(cst_wsjob_JOB_KIND="確認申請",cst_wsjob_JOB_KIND="計画変更"),cst__output_sheetname="連絡担当者票")</formula>
    </cfRule>
  </conditionalFormatting>
  <conditionalFormatting sqref="F26">
    <cfRule type="expression" dxfId="3" priority="4">
      <formula>AND(OR(wsjob_TARGET_KIND=4,wsjob_TARGET_KIND=5),OR(cst_wsjob_JOB_KIND="確認申請",cst_wsjob_JOB_KIND="計画変更"),cst__output_sheetname="連絡担当者票")</formula>
    </cfRule>
  </conditionalFormatting>
  <conditionalFormatting sqref="G26">
    <cfRule type="expression" dxfId="2" priority="3">
      <formula>AND(cst_wsjob_JOB_KIND="中間検査",cst__output_sheetname="連絡担当者票")</formula>
    </cfRule>
  </conditionalFormatting>
  <conditionalFormatting sqref="H26">
    <cfRule type="expression" dxfId="1" priority="2">
      <formula>AND(cst_wsjob_JOB_KIND="完了検査",cst__output_sheetname="連絡担当者票")</formula>
    </cfRule>
  </conditionalFormatting>
  <conditionalFormatting sqref="I26">
    <cfRule type="expression" dxfId="0" priority="1">
      <formula>AND(cst_wsjob_JOB_KIND="その他申請",cst__output_sheetname="連絡担当者票")</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H23"/>
  <sheetViews>
    <sheetView workbookViewId="0">
      <selection activeCell="G18" sqref="G18"/>
    </sheetView>
  </sheetViews>
  <sheetFormatPr defaultColWidth="9" defaultRowHeight="13.5"/>
  <cols>
    <col min="1" max="1" width="16.125" customWidth="1"/>
    <col min="4" max="4" width="16.875" style="319" customWidth="1"/>
    <col min="5" max="5" width="14.75" customWidth="1"/>
    <col min="6" max="7" width="24.875" customWidth="1"/>
    <col min="8" max="8" width="35.25" customWidth="1"/>
  </cols>
  <sheetData>
    <row r="1" spans="1:8">
      <c r="A1" s="14" t="s">
        <v>2855</v>
      </c>
      <c r="B1" s="14"/>
      <c r="C1" s="14"/>
      <c r="D1" s="305"/>
      <c r="E1" s="14"/>
      <c r="F1" s="14"/>
      <c r="G1" s="14"/>
    </row>
    <row r="2" spans="1:8">
      <c r="A2" s="306" t="s">
        <v>2856</v>
      </c>
      <c r="B2" s="306"/>
      <c r="C2" s="306" t="s">
        <v>2857</v>
      </c>
      <c r="D2" s="307" t="s">
        <v>2858</v>
      </c>
      <c r="E2" s="306" t="s">
        <v>2859</v>
      </c>
      <c r="F2" s="306" t="s">
        <v>120</v>
      </c>
      <c r="G2" s="306" t="s">
        <v>2860</v>
      </c>
      <c r="H2" s="192" t="s">
        <v>2861</v>
      </c>
    </row>
    <row r="3" spans="1:8">
      <c r="A3" s="306" t="s">
        <v>2862</v>
      </c>
      <c r="B3" s="306"/>
      <c r="C3" s="306">
        <v>1</v>
      </c>
      <c r="D3" s="307">
        <v>23132</v>
      </c>
      <c r="E3" s="306"/>
      <c r="F3" s="308" t="s">
        <v>2852</v>
      </c>
      <c r="G3" s="306" t="s">
        <v>2863</v>
      </c>
      <c r="H3" s="192" t="s">
        <v>2852</v>
      </c>
    </row>
    <row r="4" spans="1:8">
      <c r="A4" s="306"/>
      <c r="B4" s="306"/>
      <c r="C4" s="306">
        <v>2</v>
      </c>
      <c r="D4" s="307">
        <v>44376</v>
      </c>
      <c r="E4" s="306"/>
      <c r="F4" s="308" t="s">
        <v>2852</v>
      </c>
      <c r="G4" s="306" t="s">
        <v>2864</v>
      </c>
      <c r="H4" s="192" t="s">
        <v>2852</v>
      </c>
    </row>
    <row r="5" spans="1:8">
      <c r="A5" s="306"/>
      <c r="B5" s="306"/>
      <c r="C5" s="306">
        <v>3</v>
      </c>
      <c r="D5" s="307"/>
      <c r="E5" s="306"/>
      <c r="F5" s="308"/>
      <c r="G5" s="306"/>
    </row>
    <row r="6" spans="1:8">
      <c r="A6" s="306"/>
      <c r="B6" s="306"/>
      <c r="C6" s="306">
        <v>4</v>
      </c>
      <c r="D6" s="307"/>
      <c r="E6" s="306"/>
      <c r="F6" s="308"/>
      <c r="G6" s="306"/>
    </row>
    <row r="7" spans="1:8">
      <c r="A7" s="306"/>
      <c r="B7" s="306"/>
      <c r="C7" s="306">
        <v>5</v>
      </c>
      <c r="D7" s="307"/>
      <c r="E7" s="306"/>
      <c r="F7" s="308"/>
      <c r="G7" s="306"/>
    </row>
    <row r="8" spans="1:8">
      <c r="A8" s="306"/>
      <c r="B8" s="306"/>
      <c r="C8" s="306">
        <v>6</v>
      </c>
      <c r="D8" s="307"/>
      <c r="E8" s="306"/>
      <c r="F8" s="308"/>
      <c r="G8" s="306"/>
    </row>
    <row r="9" spans="1:8">
      <c r="A9" s="306"/>
      <c r="B9" s="306"/>
      <c r="C9" s="306">
        <v>7</v>
      </c>
      <c r="D9" s="307"/>
      <c r="E9" s="306"/>
      <c r="F9" s="308"/>
      <c r="G9" s="306"/>
    </row>
    <row r="10" spans="1:8">
      <c r="A10" s="306"/>
      <c r="B10" s="306"/>
      <c r="C10" s="306">
        <v>8</v>
      </c>
      <c r="D10" s="307"/>
      <c r="E10" s="306"/>
      <c r="F10" s="308"/>
      <c r="G10" s="306"/>
    </row>
    <row r="11" spans="1:8">
      <c r="A11" s="306"/>
      <c r="B11" s="306"/>
      <c r="C11" s="306">
        <v>9</v>
      </c>
      <c r="D11" s="307"/>
      <c r="E11" s="306"/>
      <c r="F11" s="308"/>
      <c r="G11" s="306"/>
    </row>
    <row r="12" spans="1:8">
      <c r="A12" s="306"/>
      <c r="B12" s="306"/>
      <c r="C12" s="306">
        <v>10</v>
      </c>
      <c r="D12" s="307"/>
      <c r="E12" s="306"/>
      <c r="F12" s="308"/>
      <c r="G12" s="306"/>
    </row>
    <row r="16" spans="1:8">
      <c r="A16" s="309" t="s">
        <v>2865</v>
      </c>
      <c r="B16" s="310"/>
      <c r="C16" s="310"/>
      <c r="D16" s="311"/>
      <c r="E16" s="309" t="s">
        <v>2866</v>
      </c>
      <c r="F16" s="310"/>
      <c r="G16" s="312"/>
    </row>
    <row r="17" spans="1:8">
      <c r="A17" s="191" t="s">
        <v>2867</v>
      </c>
      <c r="B17" s="313" t="s">
        <v>2868</v>
      </c>
      <c r="C17" s="191" t="s">
        <v>2869</v>
      </c>
      <c r="D17" s="314" t="s">
        <v>2504</v>
      </c>
      <c r="E17" s="191" t="s">
        <v>2859</v>
      </c>
      <c r="F17" s="191" t="s">
        <v>120</v>
      </c>
      <c r="G17" s="191" t="s">
        <v>2860</v>
      </c>
      <c r="H17" s="496" t="s">
        <v>2870</v>
      </c>
    </row>
    <row r="18" spans="1:8">
      <c r="A18" s="315" t="s">
        <v>481</v>
      </c>
      <c r="B18" s="315">
        <f ca="1">C18</f>
        <v>2</v>
      </c>
      <c r="C18" s="315">
        <f ca="1">IF(ISNA(MATCH(D18,$D$3:$D$12,0)),MATCH(D18,$D$3:$D$12,1),MATCH(D18,$D$3:$D$12,0))</f>
        <v>2</v>
      </c>
      <c r="D18" s="316">
        <f ca="1">IF(wskakunin_SHINSEI_DATE="",TODAY(),wskakunin_SHINSEI_DATE)</f>
        <v>45023</v>
      </c>
      <c r="E18" s="317" t="str">
        <f ca="1">IF(OFFSET(dAName!$E$2,dAName!B18,0,1,1)="","",OFFSET(dAName!$E$2,dAName!B18,0,1,1))</f>
        <v/>
      </c>
      <c r="F18" s="317" t="str">
        <f ca="1">IF(OFFSET(dAName!$F$2,dAName!$B18,0,1,1)="","",OFFSET(dAName!$F$2,dAName!$B18,0,1,1))</f>
        <v>一般財団法人静岡県建築住宅まちづくりセンター</v>
      </c>
      <c r="G18" s="317" t="str">
        <f ca="1">IF(OFFSET(dAName!$G$2,dAName!$B18,0,1,1)="","",OFFSET(dAName!$G$2,dAName!$B18,0,1,1))</f>
        <v>理事長 　柳　敏幸</v>
      </c>
      <c r="H18" s="318" t="str">
        <f ca="1">IF(OFFSET(dAName!$H$2,dAName!$B18,0,1,1)="","",OFFSET(dAName!$H$2,dAName!$B18,0,1,1))</f>
        <v>一般財団法人静岡県建築住宅まちづくりセンター</v>
      </c>
    </row>
    <row r="19" spans="1:8">
      <c r="A19" s="315"/>
      <c r="B19" s="315"/>
      <c r="C19" s="315"/>
      <c r="D19" s="316"/>
      <c r="E19" s="315"/>
      <c r="F19" s="315" t="s">
        <v>2871</v>
      </c>
      <c r="G19" s="315" t="s">
        <v>2872</v>
      </c>
    </row>
    <row r="23" spans="1:8">
      <c r="E23" s="320"/>
    </row>
  </sheetData>
  <phoneticPr fontId="5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6:V1335"/>
  <sheetViews>
    <sheetView zoomScaleNormal="100" workbookViewId="0">
      <pane xSplit="2" ySplit="6" topLeftCell="C16" activePane="bottomRight" state="frozen"/>
      <selection pane="topRight"/>
      <selection pane="bottomLeft"/>
      <selection pane="bottomRight" activeCell="F36" sqref="F36"/>
    </sheetView>
  </sheetViews>
  <sheetFormatPr defaultColWidth="9" defaultRowHeight="15" customHeight="1"/>
  <cols>
    <col min="1" max="1" width="15.625" style="14" customWidth="1"/>
    <col min="2" max="2" width="31.375" style="14" customWidth="1"/>
    <col min="3" max="3" width="37.875" style="14" customWidth="1"/>
    <col min="4" max="4" width="15.625" style="14" customWidth="1"/>
    <col min="5" max="5" width="42.25" style="14" customWidth="1"/>
    <col min="6" max="6" width="27.625" style="14" customWidth="1"/>
    <col min="7" max="7" width="35.625" style="14" customWidth="1"/>
    <col min="8" max="8" width="9" style="14" customWidth="1"/>
    <col min="9" max="16384" width="9" style="14"/>
  </cols>
  <sheetData>
    <row r="6" spans="1:8" ht="15" customHeight="1">
      <c r="A6" s="14" t="s">
        <v>141</v>
      </c>
      <c r="C6" s="14" t="s">
        <v>142</v>
      </c>
      <c r="D6" s="14" t="s">
        <v>143</v>
      </c>
      <c r="E6" s="14" t="s">
        <v>144</v>
      </c>
      <c r="F6" s="14" t="s">
        <v>145</v>
      </c>
      <c r="G6" s="120" t="s">
        <v>484</v>
      </c>
    </row>
    <row r="7" spans="1:8" ht="15" customHeight="1">
      <c r="A7" s="1" t="s">
        <v>114</v>
      </c>
      <c r="B7" s="28"/>
      <c r="C7" s="14" t="s">
        <v>115</v>
      </c>
      <c r="D7" s="154"/>
      <c r="E7" s="14" t="s">
        <v>116</v>
      </c>
      <c r="F7" s="154" t="str">
        <f>IF(_output_title="","",_output_title)</f>
        <v/>
      </c>
    </row>
    <row r="8" spans="1:8" ht="15" customHeight="1">
      <c r="A8" s="8"/>
      <c r="B8" s="119"/>
      <c r="D8" s="154"/>
      <c r="F8" s="154"/>
    </row>
    <row r="9" spans="1:8" ht="15" customHeight="1">
      <c r="A9" s="1" t="s">
        <v>111</v>
      </c>
      <c r="B9" s="28"/>
      <c r="C9" s="14" t="s">
        <v>112</v>
      </c>
      <c r="D9" s="154" t="s">
        <v>3170</v>
      </c>
      <c r="E9" s="14" t="s">
        <v>113</v>
      </c>
      <c r="F9" s="154" t="str">
        <f>IF(_output_sheetname="","",_output_sheetname)</f>
        <v>連絡担当者票</v>
      </c>
    </row>
    <row r="10" spans="1:8" ht="15" customHeight="1">
      <c r="A10" s="8"/>
      <c r="B10" s="119"/>
      <c r="D10" s="154"/>
      <c r="F10" s="154"/>
    </row>
    <row r="11" spans="1:8" ht="15" customHeight="1">
      <c r="A11" s="46" t="s">
        <v>721</v>
      </c>
      <c r="B11" s="47"/>
      <c r="C11" s="14" t="s">
        <v>146</v>
      </c>
      <c r="D11" s="154" t="s">
        <v>1298</v>
      </c>
      <c r="E11" s="14" t="s">
        <v>194</v>
      </c>
      <c r="F11" s="154" t="str">
        <f>IF(wsjob_TARGET_KIND__label="","",wsjob_TARGET_KIND__label)</f>
        <v>建築物</v>
      </c>
      <c r="G11" s="17"/>
      <c r="H11" s="17"/>
    </row>
    <row r="12" spans="1:8" ht="62.1" customHeight="1">
      <c r="A12" s="84"/>
      <c r="B12" s="78" t="s">
        <v>1295</v>
      </c>
      <c r="C12" s="14" t="s">
        <v>1315</v>
      </c>
      <c r="D12" s="154">
        <v>100</v>
      </c>
      <c r="E12" s="14" t="s">
        <v>1314</v>
      </c>
      <c r="F12" s="154" t="str">
        <f ca="1">IF(wsjob_JOB_SET_KIND="","",IF(ISERROR(MATCH(wsjob_JOB_SET_KIND,cls_JOB_SET_KIND_erea,0)),"未設定コード",OFFSET(cls_JOB_SET_KIND_base_point,MATCH(wsjob_JOB_SET_KIND,cls_JOB_SET_KIND_erea,0),0)))</f>
        <v>基準法</v>
      </c>
      <c r="G12" s="57" t="s">
        <v>1296</v>
      </c>
      <c r="H12" s="17"/>
    </row>
    <row r="13" spans="1:8" ht="62.1" customHeight="1">
      <c r="A13" s="84"/>
      <c r="B13" s="78" t="s">
        <v>1294</v>
      </c>
      <c r="C13" s="14" t="s">
        <v>477</v>
      </c>
      <c r="D13" s="154">
        <v>1</v>
      </c>
      <c r="E13" s="14" t="s">
        <v>478</v>
      </c>
      <c r="F13" s="154" t="str">
        <f ca="1">IF(wsjob_TARGET_KIND="","",IF(ISERROR(MATCH(wsjob_TARGET_KIND,cls_TARGET_KIND_erea,0)),"未設定コード",OFFSET(cls_TARGET_KIND_base_point,MATCH(wsjob_TARGET_KIND,cls_TARGET_KIND_erea,0),0)))</f>
        <v>建築物</v>
      </c>
      <c r="G13" s="57" t="s">
        <v>1293</v>
      </c>
      <c r="H13" s="17"/>
    </row>
    <row r="14" spans="1:8" ht="16.5" customHeight="1">
      <c r="A14" s="84"/>
      <c r="B14" s="78" t="s">
        <v>1298</v>
      </c>
      <c r="D14" s="17"/>
      <c r="E14" s="14" t="s">
        <v>2662</v>
      </c>
      <c r="F14" s="154" t="str">
        <f ca="1">IF(cst_wsjob_TARGET_KIND="建築物","■","□")</f>
        <v>■</v>
      </c>
      <c r="G14" s="57"/>
      <c r="H14" s="17"/>
    </row>
    <row r="15" spans="1:8" ht="16.5" customHeight="1">
      <c r="A15" s="84"/>
      <c r="B15" s="78" t="s">
        <v>1299</v>
      </c>
      <c r="D15" s="17"/>
      <c r="E15" s="14" t="s">
        <v>2663</v>
      </c>
      <c r="F15" s="154" t="str">
        <f ca="1">IF(cst_wsjob_TARGET_KIND="昇降機","■","□")</f>
        <v>□</v>
      </c>
      <c r="G15" s="57"/>
      <c r="H15" s="17"/>
    </row>
    <row r="16" spans="1:8" ht="16.5" customHeight="1">
      <c r="A16" s="84"/>
      <c r="B16" s="78" t="s">
        <v>2664</v>
      </c>
      <c r="D16" s="17"/>
      <c r="E16" s="14" t="s">
        <v>2665</v>
      </c>
      <c r="F16" s="154" t="str">
        <f ca="1">IF(cst_wsjob_TARGET_KIND="工作物","■","□")</f>
        <v>□</v>
      </c>
      <c r="G16" s="57"/>
      <c r="H16" s="17"/>
    </row>
    <row r="17" spans="1:8" ht="62.1" customHeight="1">
      <c r="A17" s="84"/>
      <c r="B17" s="78" t="s">
        <v>1292</v>
      </c>
      <c r="C17" s="14" t="s">
        <v>475</v>
      </c>
      <c r="D17" s="154">
        <v>103</v>
      </c>
      <c r="E17" s="14" t="s">
        <v>476</v>
      </c>
      <c r="F17" s="154" t="str">
        <f ca="1">IF(wsjob_JOB_KIND="","",IF(ISERROR(MATCH(wsjob_JOB_KIND,cls_JOB_KIND_erea,0)),"未設定コード",OFFSET(cls_JOB_KIND_base_point,MATCH(wsjob_JOB_KIND,cls_JOB_KIND_erea,0),0)))</f>
        <v>中間検査</v>
      </c>
      <c r="G17" s="57" t="s">
        <v>1313</v>
      </c>
      <c r="H17" s="17"/>
    </row>
    <row r="18" spans="1:8" ht="16.5" customHeight="1">
      <c r="A18" s="221"/>
      <c r="B18" s="150"/>
      <c r="D18" s="17"/>
      <c r="E18" s="14" t="s">
        <v>2749</v>
      </c>
      <c r="F18" s="154" t="str">
        <f>IF(wsjob_JOB_KIND=101,"■","□")</f>
        <v>□</v>
      </c>
      <c r="G18" s="57"/>
      <c r="H18" s="17"/>
    </row>
    <row r="19" spans="1:8" ht="16.5" customHeight="1">
      <c r="A19" s="221"/>
      <c r="B19" s="150"/>
      <c r="D19" s="17"/>
      <c r="E19" s="14" t="s">
        <v>2750</v>
      </c>
      <c r="F19" s="154" t="str">
        <f>IF(wsjob_JOB_KIND=103,"■","□")</f>
        <v>■</v>
      </c>
      <c r="G19" s="57"/>
      <c r="H19" s="17"/>
    </row>
    <row r="20" spans="1:8" ht="16.5" customHeight="1">
      <c r="A20" s="221"/>
      <c r="B20" s="150"/>
      <c r="D20" s="17"/>
      <c r="E20" s="14" t="s">
        <v>2751</v>
      </c>
      <c r="F20" s="154" t="str">
        <f>IF(wsjob_JOB_KIND=104,"■","□")</f>
        <v>□</v>
      </c>
      <c r="G20" s="57"/>
      <c r="H20" s="17"/>
    </row>
    <row r="21" spans="1:8" ht="15" customHeight="1">
      <c r="A21" s="85"/>
      <c r="B21" s="86"/>
      <c r="F21" s="17"/>
      <c r="G21" s="17"/>
      <c r="H21" s="17"/>
    </row>
    <row r="22" spans="1:8" ht="15" customHeight="1">
      <c r="A22" s="135"/>
      <c r="B22" s="136"/>
      <c r="D22" s="17"/>
      <c r="F22" s="17"/>
      <c r="G22" s="17"/>
      <c r="H22" s="17"/>
    </row>
    <row r="23" spans="1:8" ht="15" customHeight="1">
      <c r="A23" s="157" t="s">
        <v>2356</v>
      </c>
      <c r="B23" s="158"/>
    </row>
    <row r="24" spans="1:8" ht="15" customHeight="1">
      <c r="A24" s="159"/>
      <c r="B24" s="161" t="s">
        <v>2418</v>
      </c>
      <c r="E24" s="14" t="s">
        <v>2417</v>
      </c>
      <c r="F24" s="44">
        <f ca="1">IF(wsjob_JOB_KIND="","",IF(ISERROR(MATCH(wsjob_JOB_KIND,cls_JOB_KIND_erea,0)),"",OFFSET(cls_JOB_KIND_base_point,MATCH(wsjob_JOB_KIND,cls_JOB_KIND_erea,0),1)))</f>
        <v>3</v>
      </c>
      <c r="G24" s="14" t="s">
        <v>2416</v>
      </c>
    </row>
    <row r="25" spans="1:8" ht="15" customHeight="1">
      <c r="A25" s="159"/>
      <c r="B25" s="161" t="s">
        <v>2357</v>
      </c>
      <c r="E25" s="14" t="s">
        <v>2432</v>
      </c>
      <c r="F25" s="44" t="str">
        <f ca="1">IF(AND(chk_JOB_KIND_kakunin=1,wskakunin_koutei01_KOUTEI_TEXT&lt;&gt;""),1,"")</f>
        <v/>
      </c>
    </row>
    <row r="26" spans="1:8" ht="15" customHeight="1">
      <c r="A26" s="159"/>
      <c r="B26" s="161" t="s">
        <v>2358</v>
      </c>
      <c r="E26" s="14" t="s">
        <v>2433</v>
      </c>
      <c r="F26" s="44" t="str">
        <f ca="1">IF(AND(chk_JOB_KIND_kakunin=1,wskakunin_koutei02_KOUTEI_TEXT&lt;&gt;""),1,"")</f>
        <v/>
      </c>
    </row>
    <row r="27" spans="1:8" ht="15" customHeight="1">
      <c r="A27" s="159"/>
      <c r="B27" s="161" t="s">
        <v>2359</v>
      </c>
      <c r="E27" s="14" t="s">
        <v>2434</v>
      </c>
      <c r="F27" s="44" t="str">
        <f ca="1">IF(AND(chk_JOB_KIND_kakunin=1,wskakunin_koutei03_KOUTEI_TEXT&lt;&gt;""),1,"")</f>
        <v/>
      </c>
    </row>
    <row r="28" spans="1:8" ht="15" customHeight="1">
      <c r="A28" s="159"/>
      <c r="B28" s="190" t="s">
        <v>2430</v>
      </c>
      <c r="E28" s="14" t="s">
        <v>2435</v>
      </c>
      <c r="F28" s="44">
        <f ca="1">IF(chk_JOB_KIND_kakunin=3,IF(wskakunin_koutei_izen01_KOUTEI_TEXT="",30,IF(wskakunin_koutei_izen02_KOUTEI_TEXT&lt;&gt;"",32,31)),IF(chk_JOB_KIND_kakunin=1,10,IF(chk_JOB_KIND_kakunin=4,40,"")))</f>
        <v>30</v>
      </c>
      <c r="G28" s="14" t="s">
        <v>2431</v>
      </c>
    </row>
    <row r="29" spans="1:8" ht="15" customHeight="1">
      <c r="A29" s="159"/>
      <c r="B29" s="190" t="s">
        <v>20</v>
      </c>
      <c r="E29" s="14" t="s">
        <v>2415</v>
      </c>
      <c r="F29" s="44" t="str">
        <f ca="1">IF(chk_JOB_KIND_kakunin=1,cst_shinsei_ISSUE_NO,cst_wskakunin_LAST_ISSUE_NO)</f>
        <v>第 2022確認建築静建住ま10505 号</v>
      </c>
      <c r="G29" s="14" t="s">
        <v>2414</v>
      </c>
    </row>
    <row r="30" spans="1:8" ht="15" customHeight="1">
      <c r="A30" s="160"/>
      <c r="B30" s="162"/>
      <c r="E30" s="14" t="s">
        <v>2660</v>
      </c>
      <c r="F30" s="44">
        <f ca="1">IF(chk_JOB_KIND_kakunin=1,cst_shinsei_ISSUE_DATE,cst_wskakunin_LAST_ISSUE_DATE)</f>
        <v>44958</v>
      </c>
    </row>
    <row r="31" spans="1:8" ht="15" customHeight="1">
      <c r="A31" s="34"/>
    </row>
    <row r="32" spans="1:8" ht="15" customHeight="1">
      <c r="A32" s="225" t="s">
        <v>2732</v>
      </c>
      <c r="B32" s="226"/>
      <c r="C32" s="14" t="s">
        <v>2733</v>
      </c>
      <c r="D32" s="260"/>
      <c r="E32" s="14" t="s">
        <v>2734</v>
      </c>
      <c r="F32" s="260" t="str">
        <f>IF(shinsei_PROVO_DATE="","",shinsei_PROVO_DATE)</f>
        <v/>
      </c>
    </row>
    <row r="33" spans="1:8" ht="15" customHeight="1">
      <c r="A33" s="225" t="s">
        <v>2735</v>
      </c>
      <c r="B33" s="226"/>
      <c r="C33" s="14" t="s">
        <v>2736</v>
      </c>
      <c r="D33" s="242"/>
      <c r="E33" s="14" t="s">
        <v>2737</v>
      </c>
      <c r="F33" s="154" t="str">
        <f>IF(shinsei_PROVO_NO="","",shinsei_PROVO_NO)</f>
        <v/>
      </c>
    </row>
    <row r="34" spans="1:8" ht="15" customHeight="1">
      <c r="A34" s="34"/>
    </row>
    <row r="35" spans="1:8" ht="15" customHeight="1">
      <c r="A35" s="163" t="s">
        <v>2383</v>
      </c>
      <c r="B35" s="164"/>
      <c r="D35" s="17"/>
      <c r="F35" s="17"/>
      <c r="G35" s="17"/>
      <c r="H35" s="17"/>
    </row>
    <row r="36" spans="1:8" ht="15" customHeight="1">
      <c r="A36" s="165" t="s">
        <v>125</v>
      </c>
      <c r="B36" s="166"/>
      <c r="C36" s="14" t="s">
        <v>147</v>
      </c>
      <c r="D36" s="240" t="s">
        <v>3261</v>
      </c>
      <c r="E36" s="14" t="s">
        <v>165</v>
      </c>
      <c r="F36" s="154" t="str">
        <f>IF(shinsei_UKETUKE_NO="","",IF(COUNTIF(shinsei_UKETUKE_NO,"*第*")&gt;0,"","第 ")&amp;shinsei_UKETUKE_NO&amp;IF(COUNTIF(shinsei_UKETUKE_NO,"*号*")&gt;0,""," 号"))</f>
        <v>第 2022確中建築静建住ま10505 号</v>
      </c>
      <c r="G36" s="17"/>
      <c r="H36" s="17"/>
    </row>
    <row r="37" spans="1:8" ht="15" customHeight="1">
      <c r="A37" s="167"/>
      <c r="B37" s="168"/>
      <c r="D37" s="34"/>
      <c r="F37" s="17"/>
      <c r="G37" s="17"/>
      <c r="H37" s="17"/>
    </row>
    <row r="38" spans="1:8" ht="15" customHeight="1">
      <c r="A38" s="169" t="s">
        <v>126</v>
      </c>
      <c r="B38" s="170"/>
      <c r="C38" s="14" t="s">
        <v>148</v>
      </c>
      <c r="D38" s="260">
        <v>45023</v>
      </c>
      <c r="E38" s="14" t="s">
        <v>166</v>
      </c>
      <c r="F38" s="260">
        <f>IF(shinsei_HIKIUKE_DATE="","",shinsei_HIKIUKE_DATE)</f>
        <v>45023</v>
      </c>
      <c r="G38" s="17"/>
      <c r="H38" s="17"/>
    </row>
    <row r="39" spans="1:8" ht="15" customHeight="1">
      <c r="A39" s="171"/>
      <c r="B39" s="172"/>
      <c r="D39" s="101"/>
      <c r="F39" s="17"/>
      <c r="G39" s="17"/>
      <c r="H39" s="17"/>
    </row>
    <row r="40" spans="1:8" ht="15" customHeight="1">
      <c r="A40" s="173" t="s">
        <v>20</v>
      </c>
      <c r="B40" s="174"/>
      <c r="C40" s="14" t="s">
        <v>149</v>
      </c>
      <c r="D40" s="240"/>
      <c r="E40" s="14" t="s">
        <v>195</v>
      </c>
      <c r="F40" s="154" t="str">
        <f>IF(shinsei_ISSUE_NO="","",shinsei_ISSUE_NO)</f>
        <v/>
      </c>
      <c r="G40" s="17"/>
      <c r="H40" s="17"/>
    </row>
    <row r="41" spans="1:8" ht="15" customHeight="1">
      <c r="A41" s="237" t="s">
        <v>20</v>
      </c>
      <c r="B41" s="238"/>
      <c r="C41" s="14" t="s">
        <v>2756</v>
      </c>
      <c r="D41" s="242" t="s">
        <v>3260</v>
      </c>
      <c r="E41" s="14" t="s">
        <v>2757</v>
      </c>
      <c r="F41" s="154" t="str">
        <f>IF(shinsei_KAKU_SUMI_NO="","",shinsei_KAKU_SUMI_NO)</f>
        <v>2022確認建築静建住ま10505</v>
      </c>
      <c r="G41" s="17"/>
      <c r="H41" s="17"/>
    </row>
    <row r="42" spans="1:8" ht="15" customHeight="1">
      <c r="A42" s="169" t="s">
        <v>127</v>
      </c>
      <c r="B42" s="170"/>
      <c r="G42" s="17"/>
      <c r="H42" s="17"/>
    </row>
    <row r="43" spans="1:8" ht="15" customHeight="1">
      <c r="A43" s="175"/>
      <c r="B43" s="176" t="s">
        <v>1322</v>
      </c>
      <c r="C43" s="14" t="s">
        <v>480</v>
      </c>
      <c r="D43" s="260"/>
      <c r="E43" s="14" t="s">
        <v>167</v>
      </c>
      <c r="F43" s="260" t="str">
        <f>IF(shinsei_ISSUE_DATE="","",shinsei_ISSUE_DATE)</f>
        <v/>
      </c>
      <c r="G43" s="17"/>
      <c r="H43" s="17"/>
    </row>
    <row r="44" spans="1:8" ht="15" customHeight="1">
      <c r="A44" s="177"/>
      <c r="B44" s="178"/>
      <c r="D44" s="101"/>
      <c r="G44" s="17"/>
      <c r="H44" s="17"/>
    </row>
    <row r="45" spans="1:8" ht="15" customHeight="1">
      <c r="A45" s="173" t="s">
        <v>22</v>
      </c>
      <c r="B45" s="174"/>
      <c r="C45" s="17" t="s">
        <v>2602</v>
      </c>
      <c r="D45" s="154"/>
      <c r="E45" s="14" t="s">
        <v>2603</v>
      </c>
      <c r="F45" s="44" t="str">
        <f>IF(shinsei_ISSUE_KOUFU_NAME="","",shinsei_ISSUE_KOUFU_NAME)</f>
        <v/>
      </c>
    </row>
    <row r="46" spans="1:8" ht="15" customHeight="1">
      <c r="A46" s="173"/>
      <c r="B46" s="174"/>
      <c r="D46" s="101"/>
      <c r="G46" s="17"/>
      <c r="H46" s="17"/>
    </row>
    <row r="47" spans="1:8" ht="15" customHeight="1">
      <c r="A47" s="216" t="s">
        <v>2703</v>
      </c>
      <c r="B47" s="217"/>
      <c r="D47" s="17"/>
      <c r="F47" s="17"/>
      <c r="G47" s="17"/>
      <c r="H47" s="17"/>
    </row>
    <row r="48" spans="1:8" ht="15" customHeight="1">
      <c r="A48" s="218"/>
      <c r="B48" s="219" t="s">
        <v>506</v>
      </c>
      <c r="C48" s="14" t="s">
        <v>2704</v>
      </c>
      <c r="D48" s="17"/>
      <c r="E48" s="14" t="s">
        <v>2705</v>
      </c>
      <c r="F48" s="17" t="str">
        <f>IF(shinsei_build_p6_01_PAGE6_KOUZOU_KEISAN_KIND__005=1,"■","□")</f>
        <v>□</v>
      </c>
      <c r="G48" s="17"/>
      <c r="H48" s="17"/>
    </row>
    <row r="49" spans="1:8" ht="15" customHeight="1">
      <c r="A49" s="218"/>
      <c r="B49" s="219" t="s">
        <v>2706</v>
      </c>
      <c r="C49" s="14" t="s">
        <v>2707</v>
      </c>
      <c r="D49" s="17"/>
      <c r="E49" s="14" t="s">
        <v>2708</v>
      </c>
      <c r="F49" s="17" t="str">
        <f>IF(shinsei_build_p6_01_PAGE6_KOUZOU_KEISAN_KIND__004=1,"■","□")</f>
        <v>□</v>
      </c>
      <c r="G49" s="17"/>
      <c r="H49" s="17"/>
    </row>
    <row r="50" spans="1:8" ht="15" customHeight="1">
      <c r="A50" s="218"/>
      <c r="B50" s="219" t="s">
        <v>2709</v>
      </c>
      <c r="C50" s="14" t="s">
        <v>2710</v>
      </c>
      <c r="D50" s="17"/>
      <c r="E50" s="14" t="s">
        <v>2711</v>
      </c>
      <c r="F50" s="17" t="str">
        <f>IF(shinsei_build_p6_01_PAGE6_KOUZOU_KEISAN_KIND__002=1,"■","□")</f>
        <v>□</v>
      </c>
      <c r="G50" s="17"/>
      <c r="H50" s="17"/>
    </row>
    <row r="51" spans="1:8" ht="15" customHeight="1">
      <c r="A51" s="135" t="s">
        <v>2774</v>
      </c>
      <c r="B51" s="136"/>
      <c r="C51" s="14" t="s">
        <v>2775</v>
      </c>
      <c r="D51" s="154" t="s">
        <v>2852</v>
      </c>
      <c r="E51" s="14" t="s">
        <v>2776</v>
      </c>
      <c r="F51" s="154" t="str">
        <f>IF(wskakunin_KIKAN_NAME="","",wskakunin_KIKAN_NAME)</f>
        <v>一般財団法人静岡県建築住宅まちづくりセンター</v>
      </c>
      <c r="G51" s="17"/>
      <c r="H51" s="17"/>
    </row>
    <row r="52" spans="1:8" ht="15" customHeight="1">
      <c r="A52" s="2" t="s">
        <v>481</v>
      </c>
      <c r="B52" s="139"/>
      <c r="G52" s="17"/>
      <c r="H52" s="17"/>
    </row>
    <row r="53" spans="1:8" ht="15" customHeight="1">
      <c r="A53" s="9"/>
      <c r="B53" s="140" t="s">
        <v>481</v>
      </c>
      <c r="C53" s="14" t="s">
        <v>2384</v>
      </c>
      <c r="D53" s="264"/>
      <c r="E53" s="14" t="s">
        <v>479</v>
      </c>
      <c r="F53" s="264" t="str">
        <f>IF(wskakunin_SHINSEI_DATE="","",wskakunin_SHINSEI_DATE)</f>
        <v/>
      </c>
      <c r="H53" s="17"/>
    </row>
    <row r="54" spans="1:8" ht="15" customHeight="1">
      <c r="A54" s="46" t="s">
        <v>495</v>
      </c>
      <c r="B54" s="49"/>
      <c r="G54" s="17"/>
      <c r="H54" s="17"/>
    </row>
    <row r="55" spans="1:8" ht="15" customHeight="1">
      <c r="A55" s="84"/>
      <c r="B55" s="138" t="s">
        <v>20</v>
      </c>
      <c r="C55" s="14" t="s">
        <v>497</v>
      </c>
      <c r="D55" s="242" t="s">
        <v>3260</v>
      </c>
      <c r="E55" s="14" t="s">
        <v>498</v>
      </c>
      <c r="F55" s="154" t="str">
        <f>IF(wskakunin_LAST_ISSUE_NO="","",IF(COUNTIF(wskakunin_LAST_ISSUE_NO,"*第*")&gt;0,"","第 ")&amp;wskakunin_LAST_ISSUE_NO&amp;IF(COUNTIF(wskakunin_LAST_ISSUE_NO,"*号*")&gt;0,""," 号"))</f>
        <v>第 2022確認建築静建住ま10505 号</v>
      </c>
      <c r="G55" s="17"/>
      <c r="H55" s="17"/>
    </row>
    <row r="56" spans="1:8" ht="15" customHeight="1">
      <c r="A56" s="84"/>
      <c r="B56" s="138" t="s">
        <v>127</v>
      </c>
      <c r="C56" s="14" t="s">
        <v>499</v>
      </c>
      <c r="D56" s="260">
        <v>44958</v>
      </c>
      <c r="E56" s="14" t="s">
        <v>500</v>
      </c>
      <c r="F56" s="260">
        <f>IF(wskakunin_LAST_ISSUE_DATE="","",wskakunin_LAST_ISSUE_DATE)</f>
        <v>44958</v>
      </c>
      <c r="G56" s="17"/>
      <c r="H56" s="17"/>
    </row>
    <row r="57" spans="1:8" ht="15" customHeight="1">
      <c r="A57" s="84"/>
      <c r="B57" s="233" t="s">
        <v>22</v>
      </c>
      <c r="C57" s="14" t="s">
        <v>501</v>
      </c>
      <c r="D57" s="242" t="s">
        <v>3281</v>
      </c>
      <c r="E57" s="14" t="s">
        <v>502</v>
      </c>
      <c r="F57" s="154" t="str">
        <f>IF(wskakunin_LAST_ISSUE_NAME="","",wskakunin_LAST_ISSUE_NAME)</f>
        <v>一般財団法人静岡県建築住宅まちづくりセンター 理事長　柳　敏幸</v>
      </c>
      <c r="G57" s="17"/>
      <c r="H57" s="17"/>
    </row>
    <row r="58" spans="1:8" ht="15" customHeight="1">
      <c r="A58" s="84"/>
      <c r="B58" s="138" t="s">
        <v>496</v>
      </c>
      <c r="C58" s="14" t="s">
        <v>503</v>
      </c>
      <c r="D58" s="242"/>
      <c r="E58" s="14" t="s">
        <v>504</v>
      </c>
      <c r="F58" s="154" t="str">
        <f>IF(wskakunin_P1_HENKOU_GAIYOU="","",wskakunin_P1_HENKOU_GAIYOU)</f>
        <v/>
      </c>
      <c r="G58" s="17"/>
      <c r="H58" s="17"/>
    </row>
    <row r="59" spans="1:8" ht="15" customHeight="1">
      <c r="A59" s="137"/>
      <c r="B59" s="141"/>
      <c r="G59" s="17"/>
      <c r="H59" s="17"/>
    </row>
    <row r="60" spans="1:8" ht="15" customHeight="1">
      <c r="A60" s="230" t="s">
        <v>2742</v>
      </c>
      <c r="B60" s="174"/>
      <c r="D60" s="101"/>
      <c r="E60" s="14" t="s">
        <v>2743</v>
      </c>
      <c r="F60" s="243" t="str">
        <f ca="1">IF(chk_JOB_KIND_kakunin=1,cst_shinsei_ISSUE_NO,cst_wskakunin_LAST_ISSUE_NO)</f>
        <v>第 2022確認建築静建住ま10505 号</v>
      </c>
      <c r="G60" s="17"/>
      <c r="H60" s="17"/>
    </row>
    <row r="61" spans="1:8" ht="15" customHeight="1">
      <c r="A61" s="230" t="s">
        <v>2744</v>
      </c>
      <c r="B61" s="174"/>
      <c r="D61" s="101"/>
      <c r="F61" s="17"/>
      <c r="G61" s="17"/>
      <c r="H61" s="17"/>
    </row>
    <row r="62" spans="1:8" ht="15" customHeight="1">
      <c r="A62" s="231" t="s">
        <v>2729</v>
      </c>
      <c r="B62" s="232"/>
      <c r="C62"/>
      <c r="D62" s="223"/>
      <c r="E62" s="14" t="s">
        <v>2730</v>
      </c>
      <c r="F62" s="244" t="str">
        <f ca="1">IF(OR(cst_wsjob_JOB_KIND=101,cst_wsjob_JOB_KIND=102),cst_shinsei_ISSUE_KOUFU_NAME,cst_wskakunin_LAST_ISSUE_NAME)</f>
        <v>一般財団法人静岡県建築住宅まちづくりセンター 理事長　柳　敏幸</v>
      </c>
      <c r="G62" s="17"/>
      <c r="H62" s="17"/>
    </row>
    <row r="63" spans="1:8" ht="15" customHeight="1">
      <c r="A63" s="234" t="s">
        <v>2746</v>
      </c>
      <c r="B63" s="235"/>
      <c r="C63"/>
      <c r="D63" s="223"/>
      <c r="E63" s="14" t="s">
        <v>2745</v>
      </c>
      <c r="F63" s="245">
        <f ca="1">IF(chk_JOB_KIND_kakunin=1,cst_shinsei_ISSUE_DATE,cst_wskakunin_LAST_ISSUE_DATE)</f>
        <v>44958</v>
      </c>
      <c r="G63" s="17"/>
      <c r="H63" s="17"/>
    </row>
    <row r="64" spans="1:8" ht="15" customHeight="1">
      <c r="A64" s="221"/>
      <c r="B64" s="222"/>
      <c r="G64" s="17"/>
      <c r="H64" s="17"/>
    </row>
    <row r="65" spans="1:8" ht="15" customHeight="1">
      <c r="A65" s="48" t="s">
        <v>496</v>
      </c>
      <c r="B65" s="49"/>
      <c r="C65" s="14" t="s">
        <v>697</v>
      </c>
      <c r="D65" s="44"/>
      <c r="E65" s="14" t="s">
        <v>698</v>
      </c>
      <c r="F65" s="44" t="str">
        <f>IF(wskakunin_PAGE1_ALTERATION_NOTE="","",wskakunin_PAGE1_ALTERATION_NOTE)</f>
        <v/>
      </c>
    </row>
    <row r="66" spans="1:8" ht="15" customHeight="1">
      <c r="A66" s="51"/>
      <c r="B66" s="63"/>
    </row>
    <row r="67" spans="1:8" ht="15" customHeight="1">
      <c r="A67" s="52" t="s">
        <v>493</v>
      </c>
      <c r="B67" s="117"/>
      <c r="G67" s="17"/>
      <c r="H67" s="17"/>
    </row>
    <row r="68" spans="1:8" ht="15" customHeight="1">
      <c r="A68" s="113"/>
      <c r="B68" s="77" t="s">
        <v>492</v>
      </c>
      <c r="C68" s="14" t="s">
        <v>696</v>
      </c>
      <c r="D68" s="246" t="s">
        <v>3264</v>
      </c>
      <c r="E68" s="14" t="s">
        <v>494</v>
      </c>
      <c r="F68" s="246" t="str">
        <f>IF(wskakunin_APPLICANT_NAME="","",wskakunin_APPLICANT_NAME)</f>
        <v>菅野　幸子</v>
      </c>
      <c r="G68" s="17"/>
      <c r="H68" s="17"/>
    </row>
    <row r="69" spans="1:8" ht="15" customHeight="1">
      <c r="A69" s="118"/>
      <c r="B69" s="492"/>
      <c r="G69" s="17"/>
      <c r="H69" s="17"/>
    </row>
    <row r="70" spans="1:8" ht="15" customHeight="1">
      <c r="A70" s="490" t="s">
        <v>1309</v>
      </c>
      <c r="B70" s="491"/>
      <c r="G70" s="17"/>
      <c r="H70" s="17"/>
    </row>
    <row r="71" spans="1:8" ht="15" customHeight="1">
      <c r="A71" s="490" t="s">
        <v>3218</v>
      </c>
      <c r="B71" s="77" t="s">
        <v>120</v>
      </c>
      <c r="C71" s="14" t="s">
        <v>3219</v>
      </c>
      <c r="D71" s="117"/>
      <c r="E71" s="14" t="s">
        <v>3229</v>
      </c>
      <c r="F71" s="117" t="str">
        <f>IF(wssonota_owner1_JIMU_NAME="","",wssonota_owner1_JIMU_NAME)</f>
        <v/>
      </c>
      <c r="G71" s="17"/>
      <c r="H71" s="17"/>
    </row>
    <row r="72" spans="1:8" ht="15" customHeight="1">
      <c r="A72" s="490"/>
      <c r="B72" s="77" t="s">
        <v>182</v>
      </c>
      <c r="C72" s="14" t="s">
        <v>3220</v>
      </c>
      <c r="D72" s="117"/>
      <c r="G72" s="17"/>
      <c r="H72" s="17"/>
    </row>
    <row r="73" spans="1:8" ht="15" customHeight="1">
      <c r="A73" s="490"/>
      <c r="B73" s="77" t="s">
        <v>119</v>
      </c>
      <c r="C73" s="14" t="s">
        <v>3221</v>
      </c>
      <c r="D73" s="117"/>
      <c r="E73" s="14" t="s">
        <v>3230</v>
      </c>
      <c r="F73" s="117" t="str">
        <f>IF(wssonota_owner1_POST="","",wssonota_owner1_POST)</f>
        <v/>
      </c>
      <c r="G73" s="17"/>
      <c r="H73" s="17"/>
    </row>
    <row r="74" spans="1:8" ht="15" customHeight="1">
      <c r="A74" s="490"/>
      <c r="B74" s="77" t="s">
        <v>183</v>
      </c>
      <c r="C74" s="14" t="s">
        <v>3222</v>
      </c>
      <c r="D74" s="117"/>
      <c r="G74" s="17"/>
      <c r="H74" s="17"/>
    </row>
    <row r="75" spans="1:8" ht="15" customHeight="1">
      <c r="A75" s="490"/>
      <c r="B75" s="77" t="s">
        <v>11</v>
      </c>
      <c r="C75" s="14" t="s">
        <v>3223</v>
      </c>
      <c r="D75" s="117"/>
      <c r="E75" s="14" t="s">
        <v>3231</v>
      </c>
      <c r="F75" s="117" t="str">
        <f>IF(wssonota_owner1_NAME="","",wssonota_owner1_NAME)</f>
        <v/>
      </c>
      <c r="G75" s="17"/>
      <c r="H75" s="17"/>
    </row>
    <row r="76" spans="1:8" ht="15" customHeight="1">
      <c r="A76" s="490"/>
      <c r="B76" s="77" t="s">
        <v>184</v>
      </c>
      <c r="C76" s="14" t="s">
        <v>3224</v>
      </c>
      <c r="D76" s="117"/>
      <c r="G76" s="17"/>
      <c r="H76" s="17"/>
    </row>
    <row r="77" spans="1:8" ht="15" customHeight="1">
      <c r="A77" s="490"/>
      <c r="B77" s="77" t="s">
        <v>3232</v>
      </c>
      <c r="E77" s="14" t="s">
        <v>3233</v>
      </c>
      <c r="F77" s="493" t="str">
        <f>wssonota_owner1_JIMU_NAME&amp;IF(wssonota_owner1_NAME="","",CHAR(10))&amp;IF(wssonota_owner1_POST&amp;wssonota_owner1_NAME="","",IF(wssonota_owner1_POST="",wssonota_owner1_NAME,wssonota_owner1_POST&amp;"　"&amp;wssonota_owner1_NAME))</f>
        <v/>
      </c>
      <c r="G77" s="17"/>
      <c r="H77" s="17"/>
    </row>
    <row r="78" spans="1:8" ht="15" customHeight="1">
      <c r="A78" s="490"/>
      <c r="B78" s="77"/>
      <c r="G78" s="17"/>
      <c r="H78" s="17"/>
    </row>
    <row r="79" spans="1:8" ht="15" customHeight="1">
      <c r="A79" s="490"/>
      <c r="B79" s="77" t="s">
        <v>12</v>
      </c>
      <c r="C79" s="14" t="s">
        <v>3225</v>
      </c>
      <c r="D79" s="117"/>
      <c r="E79" s="14" t="s">
        <v>3234</v>
      </c>
      <c r="F79" s="117" t="str">
        <f>IF(wssonota_owner1_ZIP="","",wssonota_owner1_ZIP)</f>
        <v/>
      </c>
      <c r="G79" s="17"/>
      <c r="H79" s="17"/>
    </row>
    <row r="80" spans="1:8" ht="15" customHeight="1">
      <c r="A80" s="490"/>
      <c r="B80" s="77" t="s">
        <v>13</v>
      </c>
      <c r="C80" s="14" t="s">
        <v>3226</v>
      </c>
      <c r="D80" s="117"/>
      <c r="E80" s="14" t="s">
        <v>3228</v>
      </c>
      <c r="F80" s="117" t="str">
        <f>IF(wssonota_owner1__address="","",wssonota_owner1__address)</f>
        <v/>
      </c>
      <c r="G80" s="17"/>
      <c r="H80" s="17"/>
    </row>
    <row r="81" spans="1:8" ht="15" customHeight="1">
      <c r="A81" s="490"/>
      <c r="B81" s="77" t="s">
        <v>14</v>
      </c>
      <c r="C81" s="14" t="s">
        <v>3227</v>
      </c>
      <c r="D81" s="117"/>
      <c r="E81" s="14" t="s">
        <v>3235</v>
      </c>
      <c r="F81" s="117" t="str">
        <f>IF(wssonota_owner1_TEL="","",wssonota_owner1_TEL)</f>
        <v/>
      </c>
      <c r="G81" s="17"/>
      <c r="H81" s="17"/>
    </row>
    <row r="82" spans="1:8" ht="15" customHeight="1">
      <c r="A82" s="490"/>
      <c r="B82" s="77"/>
      <c r="G82" s="17"/>
      <c r="H82" s="17"/>
    </row>
    <row r="83" spans="1:8" ht="15" customHeight="1">
      <c r="A83" s="490" t="s">
        <v>709</v>
      </c>
      <c r="B83" s="77" t="s">
        <v>3251</v>
      </c>
      <c r="C83" s="14" t="s">
        <v>3243</v>
      </c>
      <c r="D83" s="117" t="s">
        <v>3262</v>
      </c>
      <c r="E83" s="17" t="s">
        <v>3247</v>
      </c>
      <c r="F83" s="246" t="str">
        <f>IF(wsjob__address="","",wsjob__address)</f>
        <v>静岡県静岡市葵区平和二丁目215-8</v>
      </c>
    </row>
    <row r="84" spans="1:8" ht="15" customHeight="1">
      <c r="A84" s="490"/>
      <c r="B84" s="77" t="s">
        <v>3251</v>
      </c>
      <c r="C84" s="14" t="s">
        <v>3244</v>
      </c>
      <c r="D84" s="117" t="s">
        <v>3262</v>
      </c>
      <c r="E84" s="17" t="s">
        <v>3248</v>
      </c>
      <c r="F84" s="246" t="str">
        <f>IF(wsjob_BUILD__address="","",wsjob_BUILD__address)</f>
        <v>静岡県静岡市葵区平和二丁目215-8</v>
      </c>
    </row>
    <row r="85" spans="1:8" ht="15" customHeight="1">
      <c r="A85" s="490"/>
      <c r="B85" s="77" t="s">
        <v>3252</v>
      </c>
      <c r="C85" s="14" t="s">
        <v>3245</v>
      </c>
      <c r="D85" s="117">
        <v>22</v>
      </c>
      <c r="E85" s="17" t="s">
        <v>3249</v>
      </c>
      <c r="F85" s="246">
        <f>IF(wsjob_BUILD_KEN="","",wsjob_BUILD_KEN)</f>
        <v>22</v>
      </c>
      <c r="G85" s="14" t="s">
        <v>3253</v>
      </c>
    </row>
    <row r="86" spans="1:8" ht="15" customHeight="1">
      <c r="A86" s="490"/>
      <c r="B86" s="77" t="s">
        <v>13</v>
      </c>
      <c r="C86" s="14" t="s">
        <v>3246</v>
      </c>
      <c r="D86" s="117" t="s">
        <v>3263</v>
      </c>
      <c r="E86" s="17" t="s">
        <v>3250</v>
      </c>
      <c r="F86" s="246" t="str">
        <f>IF(wsjob_BUILD_ADDRESS="","",wsjob_BUILD_ADDRESS)</f>
        <v>静岡市葵区平和二丁目215-8</v>
      </c>
    </row>
    <row r="87" spans="1:8" ht="15" customHeight="1">
      <c r="A87" s="490"/>
      <c r="B87" s="77"/>
      <c r="E87" s="17"/>
      <c r="F87" s="17"/>
    </row>
    <row r="88" spans="1:8" ht="15" customHeight="1">
      <c r="A88" s="46" t="s">
        <v>10</v>
      </c>
      <c r="B88" s="49"/>
      <c r="G88" s="17"/>
      <c r="H88" s="17"/>
    </row>
    <row r="89" spans="1:8" ht="15" customHeight="1">
      <c r="A89" s="84"/>
      <c r="B89" s="78" t="s">
        <v>120</v>
      </c>
      <c r="C89" s="14" t="s">
        <v>467</v>
      </c>
      <c r="D89" s="154"/>
      <c r="E89" s="14" t="s">
        <v>468</v>
      </c>
      <c r="F89" s="154" t="str">
        <f>IF(wskakunin_owner1_JIMU_NAME="", "", wskakunin_owner1_JIMU_NAME)</f>
        <v/>
      </c>
      <c r="G89" s="17"/>
      <c r="H89" s="17"/>
    </row>
    <row r="90" spans="1:8" ht="15" customHeight="1">
      <c r="A90" s="84"/>
      <c r="B90" s="78" t="s">
        <v>182</v>
      </c>
      <c r="C90" s="14" t="s">
        <v>469</v>
      </c>
      <c r="D90" s="154"/>
      <c r="E90" s="14" t="s">
        <v>470</v>
      </c>
      <c r="F90" s="154" t="str">
        <f>IF(wskakunin_owner1_JIMU_NAME_KANA="","",wskakunin_owner1_JIMU_NAME_KANA)</f>
        <v/>
      </c>
      <c r="G90" s="17"/>
      <c r="H90" s="17"/>
    </row>
    <row r="91" spans="1:8" ht="15" customHeight="1">
      <c r="A91" s="84"/>
      <c r="B91" s="78" t="s">
        <v>119</v>
      </c>
      <c r="C91" s="14" t="s">
        <v>471</v>
      </c>
      <c r="D91" s="154"/>
      <c r="E91" s="14" t="s">
        <v>168</v>
      </c>
      <c r="F91" s="154" t="str">
        <f>IF(wskakunin_owner1_POST="", "", wskakunin_owner1_POST)</f>
        <v/>
      </c>
      <c r="G91" s="17"/>
      <c r="H91" s="17"/>
    </row>
    <row r="92" spans="1:8" ht="15" customHeight="1">
      <c r="A92" s="84"/>
      <c r="B92" s="78" t="s">
        <v>183</v>
      </c>
      <c r="C92" s="14" t="s">
        <v>472</v>
      </c>
      <c r="D92" s="154"/>
      <c r="E92" s="14" t="s">
        <v>473</v>
      </c>
      <c r="F92" s="154" t="str">
        <f>IF(wskakunin_owner1_POST_KANA="","",wskakunin_owner1_POST_KANA)</f>
        <v/>
      </c>
      <c r="G92" s="17"/>
      <c r="H92" s="17"/>
    </row>
    <row r="93" spans="1:8" ht="15" customHeight="1">
      <c r="A93" s="84"/>
      <c r="B93" s="78" t="s">
        <v>11</v>
      </c>
      <c r="C93" s="14" t="s">
        <v>150</v>
      </c>
      <c r="D93" s="154" t="s">
        <v>3264</v>
      </c>
      <c r="E93" s="14" t="s">
        <v>169</v>
      </c>
      <c r="F93" s="154" t="str">
        <f>IF(wskakunin_owner1_NAME="", "", wskakunin_owner1_NAME)</f>
        <v>菅野　幸子</v>
      </c>
      <c r="G93" s="17"/>
      <c r="H93" s="17"/>
    </row>
    <row r="94" spans="1:8" ht="15" customHeight="1">
      <c r="A94" s="50"/>
      <c r="B94" s="78" t="s">
        <v>184</v>
      </c>
      <c r="C94" s="14" t="s">
        <v>151</v>
      </c>
      <c r="D94" s="154" t="s">
        <v>3283</v>
      </c>
      <c r="E94" s="14" t="s">
        <v>170</v>
      </c>
      <c r="F94" s="154" t="str">
        <f>IF(wskakunin_owner1_NAME_KANA="","",wskakunin_owner1_NAME_KANA)</f>
        <v>スガノ サチコ</v>
      </c>
      <c r="G94" s="17"/>
      <c r="H94" s="17"/>
    </row>
    <row r="95" spans="1:8" ht="15" customHeight="1">
      <c r="A95" s="50"/>
      <c r="B95" s="116" t="s">
        <v>185</v>
      </c>
      <c r="D95" s="17"/>
      <c r="E95" s="14" t="s">
        <v>474</v>
      </c>
      <c r="F95" s="154" t="str">
        <f>IF(wskakunin_owner1_JIMU_NAME_KANA="",cst_wskakunin_owner1_NAME_KANA,IF(wskakunin_owner1_POST_KANA="",cst_wskakunin_owner1_NAME_KANA,cst_wskakunin_owner1_JIMU_NAME_KANA&amp;"　"&amp;cst_wskakunin_owner1_POST_KANA&amp;"　"&amp;cst_wskakunin_owner1_NAME_KANA))</f>
        <v>スガノ サチコ</v>
      </c>
      <c r="G95" s="17"/>
      <c r="H95" s="17"/>
    </row>
    <row r="96" spans="1:8" ht="15" customHeight="1">
      <c r="A96" s="227"/>
      <c r="B96" s="116" t="s">
        <v>2765</v>
      </c>
      <c r="D96" s="17"/>
      <c r="E96" s="14" t="s">
        <v>2766</v>
      </c>
      <c r="F96" s="154"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スガノ サチコ</v>
      </c>
      <c r="G96" s="17"/>
      <c r="H96" s="17"/>
    </row>
    <row r="97" spans="1:8" ht="15" customHeight="1">
      <c r="A97" s="50"/>
      <c r="B97" s="78" t="s">
        <v>12</v>
      </c>
      <c r="C97" s="14" t="s">
        <v>152</v>
      </c>
      <c r="D97" s="240" t="s">
        <v>3285</v>
      </c>
      <c r="E97" s="14" t="s">
        <v>171</v>
      </c>
      <c r="F97" s="154" t="str">
        <f>IF(wskakunin_owner1_ZIP="", "", wskakunin_owner1_ZIP)</f>
        <v>420-0944</v>
      </c>
      <c r="G97" s="17"/>
      <c r="H97" s="17"/>
    </row>
    <row r="98" spans="1:8" ht="15" customHeight="1">
      <c r="A98" s="227"/>
      <c r="B98" s="78"/>
      <c r="E98" s="14" t="s">
        <v>2747</v>
      </c>
      <c r="F98" s="154" t="str">
        <f>IF(wskakunin_owner1_ZIP="","",LEFT(wskakunin_owner1_ZIP,3)&amp;RIGHT(wskakunin_owner1_ZIP,4))</f>
        <v>4200944</v>
      </c>
      <c r="G98" s="17"/>
      <c r="H98" s="17"/>
    </row>
    <row r="99" spans="1:8" ht="15" customHeight="1">
      <c r="A99" s="50"/>
      <c r="B99" s="78" t="s">
        <v>13</v>
      </c>
      <c r="C99" s="14" t="s">
        <v>153</v>
      </c>
      <c r="D99" s="154" t="s">
        <v>3282</v>
      </c>
      <c r="E99" s="14" t="s">
        <v>172</v>
      </c>
      <c r="F99" s="154" t="str">
        <f>IF(wskakunin_owner1__address="", "", wskakunin_owner1__address)</f>
        <v>静岡県静岡市葵区新伝馬二丁目8-41-101</v>
      </c>
      <c r="G99" s="17"/>
      <c r="H99" s="17"/>
    </row>
    <row r="100" spans="1:8" ht="15" customHeight="1">
      <c r="A100" s="50"/>
      <c r="B100" s="78" t="s">
        <v>14</v>
      </c>
      <c r="C100" s="14" t="s">
        <v>154</v>
      </c>
      <c r="D100" s="240" t="s">
        <v>3284</v>
      </c>
      <c r="E100" s="14" t="s">
        <v>173</v>
      </c>
      <c r="F100" s="154" t="str">
        <f>IF(wskakunin_owner1_TEL="", "", wskakunin_owner1_TEL)</f>
        <v>090-9183-9120</v>
      </c>
      <c r="G100" s="17"/>
      <c r="H100" s="17"/>
    </row>
    <row r="101" spans="1:8" ht="15" customHeight="1">
      <c r="A101" s="50"/>
      <c r="B101" s="75" t="s">
        <v>180</v>
      </c>
      <c r="D101" s="17"/>
      <c r="E101" s="14" t="s">
        <v>196</v>
      </c>
      <c r="F101" s="247" t="str">
        <f>IF(wskakunin_owner1_JIMU_NAME="",cst_wskakunin_owner1_NAME,IF(wskakunin_owner1_POST="",cst_wskakunin_owner1_NAME,cst_wskakunin_owner1_JIMU_NAME&amp;"　"&amp;cst_wskakunin_owner1_POST&amp;"　"&amp;cst_wskakunin_owner1_NAME))</f>
        <v>菅野　幸子</v>
      </c>
      <c r="G101" s="57"/>
      <c r="H101" s="57"/>
    </row>
    <row r="102" spans="1:8" ht="15" customHeight="1">
      <c r="A102" s="50"/>
      <c r="B102" s="75" t="s">
        <v>179</v>
      </c>
      <c r="D102" s="17"/>
      <c r="E102" s="14" t="s">
        <v>197</v>
      </c>
      <c r="F102" s="154" t="str">
        <f>IF(wskakunin_owner1_POST&amp;wskakunin_owner1_NAME="","",IF(wskakunin_owner1_POST="",wskakunin_owner1_NAME,wskakunin_owner1_POST&amp;"　"&amp;wskakunin_owner1_NAME))</f>
        <v>菅野　幸子</v>
      </c>
      <c r="G102" s="17"/>
      <c r="H102" s="17"/>
    </row>
    <row r="103" spans="1:8" ht="30" customHeight="1">
      <c r="A103" s="50"/>
      <c r="B103" s="78" t="s">
        <v>178</v>
      </c>
      <c r="D103" s="17"/>
      <c r="E103" s="14" t="s">
        <v>2739</v>
      </c>
      <c r="F103" s="247" t="str">
        <f>wskakunin_owner1_JIMU_NAME&amp;IF(wskakunin_owner1_JIMU_NAME="","",CHAR(10))&amp;cst_wskakunin_owner1__space2</f>
        <v>菅野　幸子</v>
      </c>
      <c r="G103" s="57"/>
      <c r="H103" s="57"/>
    </row>
    <row r="104" spans="1:8" ht="30" customHeight="1">
      <c r="A104" s="227"/>
      <c r="B104" s="150" t="s">
        <v>2768</v>
      </c>
      <c r="D104" s="17"/>
      <c r="E104" s="14" t="s">
        <v>2767</v>
      </c>
      <c r="F104" s="247"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菅野　幸子</v>
      </c>
      <c r="G104" s="57"/>
      <c r="H104" s="57"/>
    </row>
    <row r="105" spans="1:8" ht="15" customHeight="1">
      <c r="A105" s="51"/>
      <c r="B105" s="86"/>
      <c r="D105" s="17"/>
      <c r="G105" s="57"/>
      <c r="H105" s="57"/>
    </row>
    <row r="106" spans="1:8" ht="15" customHeight="1">
      <c r="A106" s="46" t="s">
        <v>1488</v>
      </c>
      <c r="B106" s="49"/>
      <c r="G106" s="17"/>
      <c r="H106" s="17"/>
    </row>
    <row r="107" spans="1:8" ht="15" customHeight="1">
      <c r="A107" s="84"/>
      <c r="B107" s="78" t="s">
        <v>120</v>
      </c>
      <c r="C107" s="14" t="s">
        <v>1496</v>
      </c>
      <c r="D107" s="154"/>
      <c r="E107" s="14" t="s">
        <v>1497</v>
      </c>
      <c r="F107" s="154" t="str">
        <f>IF(wskakunin_owner2_JIMU_NAME="", "", wskakunin_owner2_JIMU_NAME)</f>
        <v/>
      </c>
      <c r="H107" s="17"/>
    </row>
    <row r="108" spans="1:8" ht="15" customHeight="1">
      <c r="A108" s="84"/>
      <c r="B108" s="78" t="s">
        <v>182</v>
      </c>
      <c r="C108" s="14" t="s">
        <v>1498</v>
      </c>
      <c r="D108" s="154"/>
      <c r="E108" s="14" t="s">
        <v>1499</v>
      </c>
      <c r="F108" s="154" t="str">
        <f>IF(wskakunin_owner2_JIMU_NAME_KANA="","",wskakunin_owner2_JIMU_NAME_KANA)</f>
        <v/>
      </c>
      <c r="H108" s="17"/>
    </row>
    <row r="109" spans="1:8" ht="15" customHeight="1">
      <c r="A109" s="84"/>
      <c r="B109" s="78" t="s">
        <v>119</v>
      </c>
      <c r="C109" s="14" t="s">
        <v>1500</v>
      </c>
      <c r="D109" s="154"/>
      <c r="E109" s="14" t="s">
        <v>1501</v>
      </c>
      <c r="F109" s="154" t="str">
        <f>IF(wskakunin_owner2_POST="", "", wskakunin_owner2_POST)</f>
        <v/>
      </c>
      <c r="H109" s="17"/>
    </row>
    <row r="110" spans="1:8" ht="15" customHeight="1">
      <c r="A110" s="84"/>
      <c r="B110" s="78" t="s">
        <v>183</v>
      </c>
      <c r="C110" s="14" t="s">
        <v>1502</v>
      </c>
      <c r="D110" s="154"/>
      <c r="E110" s="14" t="s">
        <v>1503</v>
      </c>
      <c r="F110" s="154" t="str">
        <f>IF(wskakunin_owner2_POST_KANA="","",wskakunin_owner2_POST_KANA)</f>
        <v/>
      </c>
      <c r="H110" s="17"/>
    </row>
    <row r="111" spans="1:8" ht="15" customHeight="1">
      <c r="A111" s="84"/>
      <c r="B111" s="78" t="s">
        <v>11</v>
      </c>
      <c r="C111" s="14" t="s">
        <v>1504</v>
      </c>
      <c r="D111" s="154"/>
      <c r="E111" s="14" t="s">
        <v>1505</v>
      </c>
      <c r="F111" s="154" t="str">
        <f>IF(wskakunin_owner2_NAME="", "", wskakunin_owner2_NAME)</f>
        <v/>
      </c>
      <c r="H111" s="17"/>
    </row>
    <row r="112" spans="1:8" ht="15" customHeight="1">
      <c r="A112" s="50"/>
      <c r="B112" s="78" t="s">
        <v>184</v>
      </c>
      <c r="C112" s="14" t="s">
        <v>1506</v>
      </c>
      <c r="D112" s="154"/>
      <c r="E112" s="14" t="s">
        <v>1507</v>
      </c>
      <c r="F112" s="154" t="str">
        <f>IF(wskakunin_owner2_NAME_KANA="","",wskakunin_owner2_NAME_KANA)</f>
        <v/>
      </c>
      <c r="H112" s="17"/>
    </row>
    <row r="113" spans="1:8" ht="15" customHeight="1">
      <c r="A113" s="50"/>
      <c r="B113" s="78" t="s">
        <v>12</v>
      </c>
      <c r="C113" s="14" t="s">
        <v>1508</v>
      </c>
      <c r="D113" s="240"/>
      <c r="E113" s="14" t="s">
        <v>1509</v>
      </c>
      <c r="F113" s="154" t="str">
        <f>IF(wskakunin_owner2_ZIP="", "", wskakunin_owner2_ZIP)</f>
        <v/>
      </c>
      <c r="H113" s="17"/>
    </row>
    <row r="114" spans="1:8" ht="15" customHeight="1">
      <c r="A114" s="50"/>
      <c r="B114" s="78" t="s">
        <v>13</v>
      </c>
      <c r="C114" s="14" t="s">
        <v>1510</v>
      </c>
      <c r="D114" s="154"/>
      <c r="E114" s="14" t="s">
        <v>3199</v>
      </c>
      <c r="F114" s="154" t="str">
        <f>IF(wskakunin_owner2__address="", "", wskakunin_owner2__address)</f>
        <v/>
      </c>
      <c r="H114" s="17"/>
    </row>
    <row r="115" spans="1:8" ht="15" customHeight="1">
      <c r="A115" s="50"/>
      <c r="B115" s="78" t="s">
        <v>14</v>
      </c>
      <c r="C115" s="14" t="s">
        <v>1511</v>
      </c>
      <c r="D115" s="240"/>
      <c r="E115" s="14" t="s">
        <v>1512</v>
      </c>
      <c r="F115" s="154" t="str">
        <f>IF(wskakunin_owner2_TEL="", "", wskakunin_owner2_TEL)</f>
        <v/>
      </c>
      <c r="H115" s="17"/>
    </row>
    <row r="116" spans="1:8" ht="15" customHeight="1">
      <c r="A116" s="50"/>
      <c r="B116" s="75" t="s">
        <v>180</v>
      </c>
      <c r="E116" s="14" t="s">
        <v>2724</v>
      </c>
      <c r="F116" s="154" t="str">
        <f>IF(wskakunin_owner2_JIMU_NAME="",cst_wskakunin_owner2_NAME,IF(wskakunin_owner2_POST="",cst_wskakunin_owner2_NAME,cst_wskakunin_owner2_JIMU_NAME&amp;"　"&amp;cst_wskakunin_owner2_POST&amp;"　"&amp;cst_wskakunin_owner2_NAME))</f>
        <v/>
      </c>
      <c r="H116" s="17"/>
    </row>
    <row r="117" spans="1:8" ht="15" customHeight="1">
      <c r="A117" s="227"/>
      <c r="B117" s="228" t="s">
        <v>179</v>
      </c>
      <c r="C117"/>
      <c r="D117" s="220"/>
      <c r="E117" s="14" t="s">
        <v>2738</v>
      </c>
      <c r="F117" s="154" t="str">
        <f>IF(wskakunin_owner2_POST&amp;wskakunin_owner2_NAME="","",IF(wskakunin_owner2_POST="",wskakunin_owner2_NAME,wskakunin_owner2_POST&amp;"　"&amp;wskakunin_owner2_NAME))</f>
        <v/>
      </c>
      <c r="H117" s="17"/>
    </row>
    <row r="118" spans="1:8" ht="24">
      <c r="A118" s="227"/>
      <c r="B118" s="229" t="s">
        <v>178</v>
      </c>
      <c r="C118"/>
      <c r="D118" s="220"/>
      <c r="E118" s="14" t="s">
        <v>2740</v>
      </c>
      <c r="F118" s="247" t="str">
        <f>wskakunin_owner2_JIMU_NAME&amp;IF(wskakunin_owner2_JIMU_NAME="","",CHAR(10))&amp;cst_wskakunin_owner2__space2</f>
        <v/>
      </c>
      <c r="H118" s="17"/>
    </row>
    <row r="119" spans="1:8" ht="15" customHeight="1">
      <c r="A119" s="50"/>
      <c r="B119" s="153"/>
      <c r="D119" s="34"/>
      <c r="F119" s="17"/>
      <c r="H119" s="17"/>
    </row>
    <row r="120" spans="1:8" ht="15" customHeight="1">
      <c r="A120" s="46" t="s">
        <v>1489</v>
      </c>
      <c r="B120" s="49"/>
      <c r="H120" s="17"/>
    </row>
    <row r="121" spans="1:8" ht="15" customHeight="1">
      <c r="A121" s="84"/>
      <c r="B121" s="78" t="s">
        <v>120</v>
      </c>
      <c r="C121" s="14" t="s">
        <v>1513</v>
      </c>
      <c r="D121" s="154"/>
      <c r="E121" s="14" t="s">
        <v>1514</v>
      </c>
      <c r="F121" s="154" t="str">
        <f>IF(wskakunin_owner3_JIMU_NAME="", "", wskakunin_owner3_JIMU_NAME)</f>
        <v/>
      </c>
      <c r="H121" s="17"/>
    </row>
    <row r="122" spans="1:8" ht="15" customHeight="1">
      <c r="A122" s="84"/>
      <c r="B122" s="78" t="s">
        <v>182</v>
      </c>
      <c r="C122" s="14" t="s">
        <v>1515</v>
      </c>
      <c r="D122" s="154"/>
      <c r="E122" s="14" t="s">
        <v>1516</v>
      </c>
      <c r="F122" s="154" t="str">
        <f>IF(wskakunin_owner3_JIMU_NAME_KANA="","",wskakunin_owner3_JIMU_NAME_KANA)</f>
        <v/>
      </c>
      <c r="H122" s="17"/>
    </row>
    <row r="123" spans="1:8" ht="15" customHeight="1">
      <c r="A123" s="84"/>
      <c r="B123" s="78" t="s">
        <v>119</v>
      </c>
      <c r="C123" s="14" t="s">
        <v>1517</v>
      </c>
      <c r="D123" s="154"/>
      <c r="E123" s="14" t="s">
        <v>1518</v>
      </c>
      <c r="F123" s="154" t="str">
        <f>IF(wskakunin_owner3_POST="", "", wskakunin_owner3_POST)</f>
        <v/>
      </c>
      <c r="H123" s="17"/>
    </row>
    <row r="124" spans="1:8" ht="15" customHeight="1">
      <c r="A124" s="84"/>
      <c r="B124" s="78" t="s">
        <v>183</v>
      </c>
      <c r="C124" s="14" t="s">
        <v>1519</v>
      </c>
      <c r="D124" s="154"/>
      <c r="E124" s="14" t="s">
        <v>1520</v>
      </c>
      <c r="F124" s="154" t="str">
        <f>IF(wskakunin_owner3_POST_KANA="","",wskakunin_owner3_POST_KANA)</f>
        <v/>
      </c>
      <c r="H124" s="17"/>
    </row>
    <row r="125" spans="1:8" ht="15" customHeight="1">
      <c r="A125" s="84"/>
      <c r="B125" s="78" t="s">
        <v>11</v>
      </c>
      <c r="C125" s="14" t="s">
        <v>1521</v>
      </c>
      <c r="D125" s="154"/>
      <c r="E125" s="14" t="s">
        <v>1522</v>
      </c>
      <c r="F125" s="154" t="str">
        <f>IF(wskakunin_owner3_NAME="", "", wskakunin_owner3_NAME)</f>
        <v/>
      </c>
      <c r="H125" s="17"/>
    </row>
    <row r="126" spans="1:8" ht="15" customHeight="1">
      <c r="A126" s="50"/>
      <c r="B126" s="78" t="s">
        <v>184</v>
      </c>
      <c r="C126" s="14" t="s">
        <v>1523</v>
      </c>
      <c r="D126" s="154"/>
      <c r="E126" s="14" t="s">
        <v>1524</v>
      </c>
      <c r="F126" s="154" t="str">
        <f>IF(wskakunin_owner3_NAME_KANA="","",wskakunin_owner3_NAME_KANA)</f>
        <v/>
      </c>
      <c r="H126" s="17"/>
    </row>
    <row r="127" spans="1:8" ht="15" customHeight="1">
      <c r="A127" s="50"/>
      <c r="B127" s="78" t="s">
        <v>12</v>
      </c>
      <c r="C127" s="14" t="s">
        <v>1525</v>
      </c>
      <c r="D127" s="240"/>
      <c r="E127" s="14" t="s">
        <v>1526</v>
      </c>
      <c r="F127" s="154" t="str">
        <f>IF(wskakunin_owner3_ZIP="", "", wskakunin_owner3_ZIP)</f>
        <v/>
      </c>
      <c r="H127" s="17"/>
    </row>
    <row r="128" spans="1:8" ht="15" customHeight="1">
      <c r="A128" s="50"/>
      <c r="B128" s="78" t="s">
        <v>13</v>
      </c>
      <c r="C128" s="14" t="s">
        <v>1527</v>
      </c>
      <c r="D128" s="154"/>
      <c r="E128" s="14" t="s">
        <v>1528</v>
      </c>
      <c r="F128" s="154" t="str">
        <f>IF(wskakunin_owner3__address="", "", wskakunin_owner3__address)</f>
        <v/>
      </c>
      <c r="H128" s="17"/>
    </row>
    <row r="129" spans="1:8" ht="15" customHeight="1">
      <c r="A129" s="50"/>
      <c r="B129" s="78" t="s">
        <v>14</v>
      </c>
      <c r="C129" s="14" t="s">
        <v>1529</v>
      </c>
      <c r="D129" s="240"/>
      <c r="E129" s="14" t="s">
        <v>1530</v>
      </c>
      <c r="F129" s="154" t="str">
        <f>IF(wskakunin_owner3_TEL="", "", wskakunin_owner3_TEL)</f>
        <v/>
      </c>
      <c r="H129" s="17"/>
    </row>
    <row r="130" spans="1:8" ht="15" customHeight="1">
      <c r="A130" s="50"/>
      <c r="B130" s="75" t="s">
        <v>180</v>
      </c>
      <c r="E130" s="14" t="s">
        <v>2725</v>
      </c>
      <c r="F130" s="154" t="str">
        <f>IF(wskakunin_owner3_JIMU_NAME="",cst_wskakunin_owner3_NAME,IF(wskakunin_owner3_POST="",cst_wskakunin_owner3_NAME,cst_wskakunin_owner3_JIMU_NAME&amp;"　"&amp;cst_wskakunin_owner3_POST&amp;"　"&amp;cst_wskakunin_owner3_NAME))</f>
        <v/>
      </c>
      <c r="H130" s="17"/>
    </row>
    <row r="131" spans="1:8" ht="31.5" customHeight="1">
      <c r="A131" s="227"/>
      <c r="B131" s="229" t="s">
        <v>178</v>
      </c>
      <c r="E131" s="14" t="s">
        <v>3240</v>
      </c>
      <c r="F131" s="154" t="str">
        <f>wskakunin_owner3_JIMU_NAME&amp;IF(wskakunin_owner3_JIMU_NAME="","",CHAR(10))&amp;IF(wskakunin_owner3_POST&amp;wskakunin_owner3_NAME="","",IF(wskakunin_owner3_POST="",wskakunin_owner3_NAME,wskakunin_owner3_POST&amp;"　"&amp;wskakunin_owner3_NAME))</f>
        <v/>
      </c>
      <c r="H131" s="17"/>
    </row>
    <row r="132" spans="1:8" ht="15" customHeight="1">
      <c r="A132" s="50"/>
      <c r="B132" s="153"/>
      <c r="D132" s="34"/>
      <c r="F132" s="17"/>
      <c r="H132" s="17"/>
    </row>
    <row r="133" spans="1:8" ht="15" customHeight="1">
      <c r="A133" s="46" t="s">
        <v>1490</v>
      </c>
      <c r="B133" s="49"/>
      <c r="H133" s="17"/>
    </row>
    <row r="134" spans="1:8" ht="15" customHeight="1">
      <c r="A134" s="84"/>
      <c r="B134" s="78" t="s">
        <v>120</v>
      </c>
      <c r="C134" s="14" t="s">
        <v>1531</v>
      </c>
      <c r="D134" s="154"/>
      <c r="E134" s="14" t="s">
        <v>1532</v>
      </c>
      <c r="F134" s="154" t="str">
        <f>IF(wskakunin_owner4_JIMU_NAME="", "", wskakunin_owner4_JIMU_NAME)</f>
        <v/>
      </c>
      <c r="H134" s="17"/>
    </row>
    <row r="135" spans="1:8" ht="15" customHeight="1">
      <c r="A135" s="84"/>
      <c r="B135" s="78" t="s">
        <v>182</v>
      </c>
      <c r="C135" s="14" t="s">
        <v>1533</v>
      </c>
      <c r="D135" s="154"/>
      <c r="E135" s="14" t="s">
        <v>1534</v>
      </c>
      <c r="F135" s="154" t="str">
        <f>IF(wskakunin_owner4_JIMU_NAME_KANA="","",wskakunin_owner4_JIMU_NAME_KANA)</f>
        <v/>
      </c>
      <c r="H135" s="17"/>
    </row>
    <row r="136" spans="1:8" ht="15" customHeight="1">
      <c r="A136" s="84"/>
      <c r="B136" s="78" t="s">
        <v>119</v>
      </c>
      <c r="C136" s="14" t="s">
        <v>1535</v>
      </c>
      <c r="D136" s="154"/>
      <c r="E136" s="14" t="s">
        <v>1536</v>
      </c>
      <c r="F136" s="154" t="str">
        <f>IF(wskakunin_owner4_POST="", "", wskakunin_owner4_POST)</f>
        <v/>
      </c>
      <c r="H136" s="17"/>
    </row>
    <row r="137" spans="1:8" ht="15" customHeight="1">
      <c r="A137" s="84"/>
      <c r="B137" s="78" t="s">
        <v>183</v>
      </c>
      <c r="C137" s="14" t="s">
        <v>1537</v>
      </c>
      <c r="D137" s="154"/>
      <c r="E137" s="14" t="s">
        <v>1538</v>
      </c>
      <c r="F137" s="154" t="str">
        <f>IF(wskakunin_owner4_POST_KANA="","",wskakunin_owner4_POST_KANA)</f>
        <v/>
      </c>
      <c r="H137" s="17"/>
    </row>
    <row r="138" spans="1:8" ht="15" customHeight="1">
      <c r="A138" s="84"/>
      <c r="B138" s="78" t="s">
        <v>11</v>
      </c>
      <c r="C138" s="14" t="s">
        <v>1539</v>
      </c>
      <c r="D138" s="154"/>
      <c r="E138" s="14" t="s">
        <v>1540</v>
      </c>
      <c r="F138" s="154" t="str">
        <f>IF(wskakunin_owner4_NAME="", "", wskakunin_owner4_NAME)</f>
        <v/>
      </c>
      <c r="H138" s="17"/>
    </row>
    <row r="139" spans="1:8" ht="15" customHeight="1">
      <c r="A139" s="50"/>
      <c r="B139" s="78" t="s">
        <v>184</v>
      </c>
      <c r="C139" s="14" t="s">
        <v>1541</v>
      </c>
      <c r="D139" s="154"/>
      <c r="E139" s="14" t="s">
        <v>1542</v>
      </c>
      <c r="F139" s="154" t="str">
        <f>IF(wskakunin_owner4_NAME_KANA="","",wskakunin_owner4_NAME_KANA)</f>
        <v/>
      </c>
      <c r="H139" s="17"/>
    </row>
    <row r="140" spans="1:8" ht="15" customHeight="1">
      <c r="A140" s="50"/>
      <c r="B140" s="78" t="s">
        <v>12</v>
      </c>
      <c r="C140" s="14" t="s">
        <v>1543</v>
      </c>
      <c r="D140" s="240"/>
      <c r="E140" s="14" t="s">
        <v>1544</v>
      </c>
      <c r="F140" s="154" t="str">
        <f>IF(wskakunin_owner4_ZIP="", "", wskakunin_owner4_ZIP)</f>
        <v/>
      </c>
      <c r="H140" s="17"/>
    </row>
    <row r="141" spans="1:8" ht="15" customHeight="1">
      <c r="A141" s="50"/>
      <c r="B141" s="78" t="s">
        <v>13</v>
      </c>
      <c r="C141" s="14" t="s">
        <v>1545</v>
      </c>
      <c r="D141" s="154"/>
      <c r="E141" s="14" t="s">
        <v>1546</v>
      </c>
      <c r="F141" s="154" t="str">
        <f>IF(wskakunin_owner4__address="", "", wskakunin_owner4__address)</f>
        <v/>
      </c>
      <c r="H141" s="17"/>
    </row>
    <row r="142" spans="1:8" ht="15" customHeight="1">
      <c r="A142" s="50"/>
      <c r="B142" s="78" t="s">
        <v>14</v>
      </c>
      <c r="C142" s="14" t="s">
        <v>1547</v>
      </c>
      <c r="D142" s="240"/>
      <c r="E142" s="14" t="s">
        <v>1548</v>
      </c>
      <c r="F142" s="154" t="str">
        <f>IF(wskakunin_owner4_TEL="", "", wskakunin_owner4_TEL)</f>
        <v/>
      </c>
      <c r="H142" s="17"/>
    </row>
    <row r="143" spans="1:8" ht="15" customHeight="1">
      <c r="A143" s="50"/>
      <c r="B143" s="75" t="s">
        <v>180</v>
      </c>
      <c r="D143" s="34"/>
      <c r="E143" s="14" t="s">
        <v>2726</v>
      </c>
      <c r="F143" s="154" t="str">
        <f>IF(wskakunin_owner4_JIMU_NAME="",cst_wskakunin_owner4_NAME,IF(wskakunin_owner4_POST="",cst_wskakunin_owner4_NAME,cst_wskakunin_owner4_JIMU_NAME&amp;"　"&amp;cst_wskakunin_owner4_POST&amp;"　"&amp;cst_wskakunin_owner4_NAME))</f>
        <v/>
      </c>
      <c r="H143" s="17"/>
    </row>
    <row r="144" spans="1:8" ht="15" customHeight="1">
      <c r="A144" s="50"/>
      <c r="B144" s="153"/>
      <c r="D144" s="34"/>
      <c r="F144" s="17"/>
      <c r="H144" s="17"/>
    </row>
    <row r="145" spans="1:8" ht="15" customHeight="1">
      <c r="A145" s="46" t="s">
        <v>1491</v>
      </c>
      <c r="B145" s="49"/>
      <c r="H145" s="17"/>
    </row>
    <row r="146" spans="1:8" ht="15" customHeight="1">
      <c r="A146" s="84"/>
      <c r="B146" s="78" t="s">
        <v>120</v>
      </c>
      <c r="C146" s="14" t="s">
        <v>1549</v>
      </c>
      <c r="D146" s="154"/>
      <c r="E146" s="14" t="s">
        <v>1550</v>
      </c>
      <c r="F146" s="154" t="str">
        <f>IF(wskakunin_owner5_JIMU_NAME="", "", wskakunin_owner5_JIMU_NAME)</f>
        <v/>
      </c>
      <c r="H146" s="17"/>
    </row>
    <row r="147" spans="1:8" ht="15" customHeight="1">
      <c r="A147" s="84"/>
      <c r="B147" s="78" t="s">
        <v>182</v>
      </c>
      <c r="C147" s="14" t="s">
        <v>1551</v>
      </c>
      <c r="D147" s="154"/>
      <c r="E147" s="14" t="s">
        <v>1552</v>
      </c>
      <c r="F147" s="154" t="str">
        <f>IF(wskakunin_owner5_JIMU_NAME_KANA="","",wskakunin_owner5_JIMU_NAME_KANA)</f>
        <v/>
      </c>
      <c r="H147" s="17"/>
    </row>
    <row r="148" spans="1:8" ht="15" customHeight="1">
      <c r="A148" s="84"/>
      <c r="B148" s="78" t="s">
        <v>119</v>
      </c>
      <c r="C148" s="14" t="s">
        <v>1553</v>
      </c>
      <c r="D148" s="154"/>
      <c r="E148" s="14" t="s">
        <v>1554</v>
      </c>
      <c r="F148" s="154" t="str">
        <f>IF(wskakunin_owner5_POST="", "", wskakunin_owner5_POST)</f>
        <v/>
      </c>
      <c r="H148" s="17"/>
    </row>
    <row r="149" spans="1:8" ht="15" customHeight="1">
      <c r="A149" s="84"/>
      <c r="B149" s="78" t="s">
        <v>183</v>
      </c>
      <c r="C149" s="14" t="s">
        <v>1555</v>
      </c>
      <c r="D149" s="154"/>
      <c r="E149" s="14" t="s">
        <v>1556</v>
      </c>
      <c r="F149" s="154" t="str">
        <f>IF(wskakunin_owner5_POST_KANA="","",wskakunin_owner5_POST_KANA)</f>
        <v/>
      </c>
      <c r="H149" s="17"/>
    </row>
    <row r="150" spans="1:8" ht="15" customHeight="1">
      <c r="A150" s="84"/>
      <c r="B150" s="78" t="s">
        <v>11</v>
      </c>
      <c r="C150" s="14" t="s">
        <v>1557</v>
      </c>
      <c r="D150" s="154"/>
      <c r="E150" s="14" t="s">
        <v>1558</v>
      </c>
      <c r="F150" s="154" t="str">
        <f>IF(wskakunin_owner5_NAME="", "", wskakunin_owner5_NAME)</f>
        <v/>
      </c>
      <c r="H150" s="17"/>
    </row>
    <row r="151" spans="1:8" ht="15" customHeight="1">
      <c r="A151" s="50"/>
      <c r="B151" s="78" t="s">
        <v>184</v>
      </c>
      <c r="C151" s="14" t="s">
        <v>1559</v>
      </c>
      <c r="D151" s="154"/>
      <c r="E151" s="14" t="s">
        <v>1560</v>
      </c>
      <c r="F151" s="154" t="str">
        <f>IF(wskakunin_owner5_NAME_KANA="","",wskakunin_owner5_NAME_KANA)</f>
        <v/>
      </c>
      <c r="H151" s="17"/>
    </row>
    <row r="152" spans="1:8" ht="15" customHeight="1">
      <c r="A152" s="50"/>
      <c r="B152" s="78" t="s">
        <v>12</v>
      </c>
      <c r="C152" s="14" t="s">
        <v>1561</v>
      </c>
      <c r="D152" s="240"/>
      <c r="E152" s="14" t="s">
        <v>1562</v>
      </c>
      <c r="F152" s="154" t="str">
        <f>IF(wskakunin_owner5_ZIP="", "", wskakunin_owner5_ZIP)</f>
        <v/>
      </c>
      <c r="H152" s="17"/>
    </row>
    <row r="153" spans="1:8" ht="15" customHeight="1">
      <c r="A153" s="50"/>
      <c r="B153" s="78" t="s">
        <v>13</v>
      </c>
      <c r="C153" s="14" t="s">
        <v>1563</v>
      </c>
      <c r="D153" s="154"/>
      <c r="E153" s="14" t="s">
        <v>1564</v>
      </c>
      <c r="F153" s="154" t="str">
        <f>IF(wskakunin_owner5__address="", "", wskakunin_owner5__address)</f>
        <v/>
      </c>
      <c r="H153" s="17"/>
    </row>
    <row r="154" spans="1:8" ht="15" customHeight="1">
      <c r="A154" s="50"/>
      <c r="B154" s="78" t="s">
        <v>14</v>
      </c>
      <c r="C154" s="14" t="s">
        <v>1565</v>
      </c>
      <c r="D154" s="240"/>
      <c r="E154" s="14" t="s">
        <v>1566</v>
      </c>
      <c r="F154" s="154" t="str">
        <f>IF(wskakunin_owner5_TEL="", "", wskakunin_owner5_TEL)</f>
        <v/>
      </c>
      <c r="H154" s="17"/>
    </row>
    <row r="155" spans="1:8" ht="15" customHeight="1">
      <c r="A155" s="50"/>
      <c r="B155" s="75" t="s">
        <v>180</v>
      </c>
      <c r="D155" s="34"/>
      <c r="E155" s="14" t="s">
        <v>2727</v>
      </c>
      <c r="F155" s="154" t="str">
        <f>IF(wskakunin_owner5_JIMU_NAME="",cst_wskakunin_owner5_NAME,IF(wskakunin_owner5_POST="",cst_wskakunin_owner5_NAME,cst_wskakunin_owner5_JIMU_NAME&amp;"　"&amp;cst_wskakunin_owner5_POST&amp;"　"&amp;cst_wskakunin_owner5_NAME))</f>
        <v/>
      </c>
      <c r="H155" s="17"/>
    </row>
    <row r="156" spans="1:8" ht="15" customHeight="1">
      <c r="A156" s="50"/>
      <c r="B156" s="153"/>
      <c r="D156" s="34"/>
      <c r="F156" s="17"/>
      <c r="H156" s="17"/>
    </row>
    <row r="157" spans="1:8" ht="15" customHeight="1">
      <c r="A157" s="46" t="s">
        <v>1492</v>
      </c>
      <c r="B157" s="49"/>
      <c r="H157" s="17"/>
    </row>
    <row r="158" spans="1:8" ht="15" customHeight="1">
      <c r="A158" s="84"/>
      <c r="B158" s="78" t="s">
        <v>120</v>
      </c>
      <c r="C158" s="14" t="s">
        <v>1567</v>
      </c>
      <c r="D158" s="154"/>
      <c r="E158" s="14" t="s">
        <v>1568</v>
      </c>
      <c r="F158" s="154" t="str">
        <f>IF(wskakunin_owner6_JIMU_NAME="", "", wskakunin_owner6_JIMU_NAME)</f>
        <v/>
      </c>
      <c r="H158" s="17"/>
    </row>
    <row r="159" spans="1:8" ht="15" customHeight="1">
      <c r="A159" s="84"/>
      <c r="B159" s="78" t="s">
        <v>182</v>
      </c>
      <c r="C159" s="14" t="s">
        <v>1569</v>
      </c>
      <c r="D159" s="154"/>
      <c r="E159" s="14" t="s">
        <v>1570</v>
      </c>
      <c r="F159" s="154" t="str">
        <f>IF(wskakunin_owner6_JIMU_NAME_KANA="","",wskakunin_owner6_JIMU_NAME_KANA)</f>
        <v/>
      </c>
      <c r="H159" s="17"/>
    </row>
    <row r="160" spans="1:8" ht="15" customHeight="1">
      <c r="A160" s="84"/>
      <c r="B160" s="78" t="s">
        <v>119</v>
      </c>
      <c r="C160" s="14" t="s">
        <v>1571</v>
      </c>
      <c r="D160" s="154"/>
      <c r="E160" s="14" t="s">
        <v>1572</v>
      </c>
      <c r="F160" s="154" t="str">
        <f>IF(wskakunin_owner6_POST="", "", wskakunin_owner6_POST)</f>
        <v/>
      </c>
      <c r="H160" s="17"/>
    </row>
    <row r="161" spans="1:8" ht="15" customHeight="1">
      <c r="A161" s="84"/>
      <c r="B161" s="78" t="s">
        <v>183</v>
      </c>
      <c r="C161" s="14" t="s">
        <v>1573</v>
      </c>
      <c r="D161" s="154"/>
      <c r="E161" s="14" t="s">
        <v>1574</v>
      </c>
      <c r="F161" s="154" t="str">
        <f>IF(wskakunin_owner6_POST_KANA="","",wskakunin_owner6_POST_KANA)</f>
        <v/>
      </c>
      <c r="H161" s="17"/>
    </row>
    <row r="162" spans="1:8" ht="15" customHeight="1">
      <c r="A162" s="84"/>
      <c r="B162" s="78" t="s">
        <v>11</v>
      </c>
      <c r="C162" s="14" t="s">
        <v>1575</v>
      </c>
      <c r="D162" s="154"/>
      <c r="E162" s="14" t="s">
        <v>1576</v>
      </c>
      <c r="F162" s="154" t="str">
        <f>IF(wskakunin_owner6_NAME="", "", wskakunin_owner6_NAME)</f>
        <v/>
      </c>
      <c r="H162" s="17"/>
    </row>
    <row r="163" spans="1:8" ht="15" customHeight="1">
      <c r="A163" s="50"/>
      <c r="B163" s="78" t="s">
        <v>184</v>
      </c>
      <c r="C163" s="14" t="s">
        <v>1577</v>
      </c>
      <c r="D163" s="154"/>
      <c r="E163" s="14" t="s">
        <v>1578</v>
      </c>
      <c r="F163" s="154" t="str">
        <f>IF(wskakunin_owner6_NAME_KANA="","",wskakunin_owner6_NAME_KANA)</f>
        <v/>
      </c>
      <c r="H163" s="17"/>
    </row>
    <row r="164" spans="1:8" ht="15" customHeight="1">
      <c r="A164" s="50"/>
      <c r="B164" s="78" t="s">
        <v>12</v>
      </c>
      <c r="C164" s="14" t="s">
        <v>1579</v>
      </c>
      <c r="D164" s="240"/>
      <c r="E164" s="14" t="s">
        <v>1580</v>
      </c>
      <c r="F164" s="154" t="str">
        <f>IF(wskakunin_owner6_ZIP="", "", wskakunin_owner6_ZIP)</f>
        <v/>
      </c>
      <c r="H164" s="17"/>
    </row>
    <row r="165" spans="1:8" ht="15" customHeight="1">
      <c r="A165" s="50"/>
      <c r="B165" s="78" t="s">
        <v>13</v>
      </c>
      <c r="C165" s="14" t="s">
        <v>1581</v>
      </c>
      <c r="D165" s="154"/>
      <c r="E165" s="14" t="s">
        <v>1582</v>
      </c>
      <c r="F165" s="154" t="str">
        <f>IF(wskakunin_owner6__address="", "", wskakunin_owner6__address)</f>
        <v/>
      </c>
      <c r="H165" s="17"/>
    </row>
    <row r="166" spans="1:8" ht="15" customHeight="1">
      <c r="A166" s="50"/>
      <c r="B166" s="78" t="s">
        <v>14</v>
      </c>
      <c r="C166" s="14" t="s">
        <v>1583</v>
      </c>
      <c r="D166" s="240"/>
      <c r="E166" s="14" t="s">
        <v>1584</v>
      </c>
      <c r="F166" s="154" t="str">
        <f>IF(wskakunin_owner6_TEL="", "", wskakunin_owner6_TEL)</f>
        <v/>
      </c>
      <c r="H166" s="17"/>
    </row>
    <row r="167" spans="1:8" ht="15" customHeight="1">
      <c r="A167" s="50"/>
      <c r="B167" s="78" t="s">
        <v>178</v>
      </c>
      <c r="E167" s="14" t="s">
        <v>2728</v>
      </c>
      <c r="F167" s="154" t="str">
        <f>wskakunin_owner6_JIMU_NAME&amp;IF(wskakunin_owner6_JIMU_NAME="","",CHAR(10))&amp;cst_wskakunin_owner6__space2</f>
        <v/>
      </c>
      <c r="H167" s="17"/>
    </row>
    <row r="168" spans="1:8" ht="15" customHeight="1">
      <c r="A168" s="50"/>
      <c r="B168" s="153"/>
      <c r="D168" s="34"/>
      <c r="F168" s="17"/>
      <c r="H168" s="17"/>
    </row>
    <row r="169" spans="1:8" ht="15" customHeight="1">
      <c r="A169" s="46" t="s">
        <v>1493</v>
      </c>
      <c r="B169" s="49"/>
      <c r="H169" s="17"/>
    </row>
    <row r="170" spans="1:8" ht="15" customHeight="1">
      <c r="A170" s="84"/>
      <c r="B170" s="78" t="s">
        <v>120</v>
      </c>
      <c r="C170" s="14" t="s">
        <v>1585</v>
      </c>
      <c r="D170" s="154"/>
      <c r="E170" s="14" t="s">
        <v>1586</v>
      </c>
      <c r="F170" s="154" t="str">
        <f>IF(wskakunin_owner7_JIMU_NAME="", "", wskakunin_owner7_JIMU_NAME)</f>
        <v/>
      </c>
      <c r="H170" s="17"/>
    </row>
    <row r="171" spans="1:8" ht="15" customHeight="1">
      <c r="A171" s="84"/>
      <c r="B171" s="78" t="s">
        <v>182</v>
      </c>
      <c r="C171" s="14" t="s">
        <v>1587</v>
      </c>
      <c r="D171" s="154"/>
      <c r="E171" s="14" t="s">
        <v>1588</v>
      </c>
      <c r="F171" s="154" t="str">
        <f>IF(wskakunin_owner7_JIMU_NAME_KANA="","",wskakunin_owner7_JIMU_NAME_KANA)</f>
        <v/>
      </c>
      <c r="H171" s="17"/>
    </row>
    <row r="172" spans="1:8" ht="15" customHeight="1">
      <c r="A172" s="84"/>
      <c r="B172" s="78" t="s">
        <v>119</v>
      </c>
      <c r="C172" s="14" t="s">
        <v>1589</v>
      </c>
      <c r="D172" s="154"/>
      <c r="E172" s="14" t="s">
        <v>1590</v>
      </c>
      <c r="F172" s="154" t="str">
        <f>IF(wskakunin_owner7_POST="", "", wskakunin_owner7_POST)</f>
        <v/>
      </c>
      <c r="H172" s="17"/>
    </row>
    <row r="173" spans="1:8" ht="15" customHeight="1">
      <c r="A173" s="84"/>
      <c r="B173" s="78" t="s">
        <v>183</v>
      </c>
      <c r="C173" s="14" t="s">
        <v>1591</v>
      </c>
      <c r="D173" s="154"/>
      <c r="E173" s="14" t="s">
        <v>1592</v>
      </c>
      <c r="F173" s="154" t="str">
        <f>IF(wskakunin_owner7_POST_KANA="","",wskakunin_owner7_POST_KANA)</f>
        <v/>
      </c>
      <c r="H173" s="17"/>
    </row>
    <row r="174" spans="1:8" ht="15" customHeight="1">
      <c r="A174" s="84"/>
      <c r="B174" s="78" t="s">
        <v>11</v>
      </c>
      <c r="C174" s="14" t="s">
        <v>1593</v>
      </c>
      <c r="D174" s="154"/>
      <c r="E174" s="14" t="s">
        <v>1594</v>
      </c>
      <c r="F174" s="154" t="str">
        <f>IF(wskakunin_owner7_NAME="", "", wskakunin_owner7_NAME)</f>
        <v/>
      </c>
      <c r="H174" s="17"/>
    </row>
    <row r="175" spans="1:8" ht="15" customHeight="1">
      <c r="A175" s="50"/>
      <c r="B175" s="78" t="s">
        <v>184</v>
      </c>
      <c r="C175" s="14" t="s">
        <v>1595</v>
      </c>
      <c r="D175" s="154"/>
      <c r="E175" s="14" t="s">
        <v>1596</v>
      </c>
      <c r="F175" s="154" t="str">
        <f>IF(wskakunin_owner7_NAME_KANA="","",wskakunin_owner7_NAME_KANA)</f>
        <v/>
      </c>
      <c r="H175" s="17"/>
    </row>
    <row r="176" spans="1:8" ht="15" customHeight="1">
      <c r="A176" s="50"/>
      <c r="B176" s="78" t="s">
        <v>12</v>
      </c>
      <c r="C176" s="14" t="s">
        <v>1597</v>
      </c>
      <c r="D176" s="240"/>
      <c r="E176" s="14" t="s">
        <v>1598</v>
      </c>
      <c r="F176" s="154" t="str">
        <f>IF(wskakunin_owner7_ZIP="", "", wskakunin_owner7_ZIP)</f>
        <v/>
      </c>
      <c r="H176" s="17"/>
    </row>
    <row r="177" spans="1:8" ht="15" customHeight="1">
      <c r="A177" s="50"/>
      <c r="B177" s="78" t="s">
        <v>13</v>
      </c>
      <c r="C177" s="14" t="s">
        <v>1599</v>
      </c>
      <c r="D177" s="154"/>
      <c r="E177" s="14" t="s">
        <v>1600</v>
      </c>
      <c r="F177" s="154" t="str">
        <f>IF(wskakunin_owner7__address="", "", wskakunin_owner7__address)</f>
        <v/>
      </c>
      <c r="H177" s="17"/>
    </row>
    <row r="178" spans="1:8" ht="15" customHeight="1">
      <c r="A178" s="50"/>
      <c r="B178" s="78" t="s">
        <v>14</v>
      </c>
      <c r="C178" s="14" t="s">
        <v>1601</v>
      </c>
      <c r="D178" s="240"/>
      <c r="E178" s="14" t="s">
        <v>1602</v>
      </c>
      <c r="F178" s="154" t="str">
        <f>IF(wskakunin_owner7_TEL="", "", wskakunin_owner7_TEL)</f>
        <v/>
      </c>
      <c r="H178" s="17"/>
    </row>
    <row r="179" spans="1:8" ht="15" customHeight="1">
      <c r="A179" s="50"/>
      <c r="B179" s="153"/>
      <c r="D179" s="34"/>
      <c r="F179" s="17"/>
      <c r="H179" s="17"/>
    </row>
    <row r="180" spans="1:8" ht="15" customHeight="1">
      <c r="A180" s="46" t="s">
        <v>1494</v>
      </c>
      <c r="B180" s="49"/>
      <c r="H180" s="17"/>
    </row>
    <row r="181" spans="1:8" ht="15" customHeight="1">
      <c r="A181" s="84"/>
      <c r="B181" s="78" t="s">
        <v>120</v>
      </c>
      <c r="C181" s="14" t="s">
        <v>1603</v>
      </c>
      <c r="D181" s="154"/>
      <c r="E181" s="14" t="s">
        <v>1604</v>
      </c>
      <c r="F181" s="154" t="str">
        <f>IF(wskakunin_owner8_JIMU_NAME="", "", wskakunin_owner8_JIMU_NAME)</f>
        <v/>
      </c>
      <c r="H181" s="17"/>
    </row>
    <row r="182" spans="1:8" ht="15" customHeight="1">
      <c r="A182" s="84"/>
      <c r="B182" s="78" t="s">
        <v>182</v>
      </c>
      <c r="C182" s="14" t="s">
        <v>1605</v>
      </c>
      <c r="D182" s="154"/>
      <c r="E182" s="14" t="s">
        <v>1606</v>
      </c>
      <c r="F182" s="154" t="str">
        <f>IF(wskakunin_owner8_JIMU_NAME_KANA="","",wskakunin_owner8_JIMU_NAME_KANA)</f>
        <v/>
      </c>
      <c r="H182" s="17"/>
    </row>
    <row r="183" spans="1:8" ht="15" customHeight="1">
      <c r="A183" s="84"/>
      <c r="B183" s="78" t="s">
        <v>119</v>
      </c>
      <c r="C183" s="14" t="s">
        <v>1607</v>
      </c>
      <c r="D183" s="154"/>
      <c r="E183" s="14" t="s">
        <v>1608</v>
      </c>
      <c r="F183" s="154" t="str">
        <f>IF(wskakunin_owner8_POST="", "", wskakunin_owner8_POST)</f>
        <v/>
      </c>
      <c r="H183" s="17"/>
    </row>
    <row r="184" spans="1:8" ht="15" customHeight="1">
      <c r="A184" s="84"/>
      <c r="B184" s="78" t="s">
        <v>183</v>
      </c>
      <c r="C184" s="14" t="s">
        <v>1609</v>
      </c>
      <c r="D184" s="154"/>
      <c r="E184" s="14" t="s">
        <v>1610</v>
      </c>
      <c r="F184" s="154" t="str">
        <f>IF(wskakunin_owner8_POST_KANA="","",wskakunin_owner8_POST_KANA)</f>
        <v/>
      </c>
      <c r="H184" s="17"/>
    </row>
    <row r="185" spans="1:8" ht="15" customHeight="1">
      <c r="A185" s="84"/>
      <c r="B185" s="78" t="s">
        <v>11</v>
      </c>
      <c r="C185" s="14" t="s">
        <v>1611</v>
      </c>
      <c r="D185" s="154"/>
      <c r="E185" s="14" t="s">
        <v>1612</v>
      </c>
      <c r="F185" s="154" t="str">
        <f>IF(wskakunin_owner8_NAME="", "", wskakunin_owner8_NAME)</f>
        <v/>
      </c>
      <c r="H185" s="17"/>
    </row>
    <row r="186" spans="1:8" ht="15" customHeight="1">
      <c r="A186" s="50"/>
      <c r="B186" s="78" t="s">
        <v>184</v>
      </c>
      <c r="C186" s="14" t="s">
        <v>1613</v>
      </c>
      <c r="D186" s="154"/>
      <c r="E186" s="14" t="s">
        <v>1614</v>
      </c>
      <c r="F186" s="154" t="str">
        <f>IF(wskakunin_owner8_NAME_KANA="","",wskakunin_owner8_NAME_KANA)</f>
        <v/>
      </c>
      <c r="H186" s="17"/>
    </row>
    <row r="187" spans="1:8" ht="15" customHeight="1">
      <c r="A187" s="50"/>
      <c r="B187" s="78" t="s">
        <v>12</v>
      </c>
      <c r="C187" s="14" t="s">
        <v>1615</v>
      </c>
      <c r="D187" s="240"/>
      <c r="E187" s="14" t="s">
        <v>1616</v>
      </c>
      <c r="F187" s="154" t="str">
        <f>IF(wskakunin_owner8_ZIP="", "", wskakunin_owner8_ZIP)</f>
        <v/>
      </c>
      <c r="H187" s="17"/>
    </row>
    <row r="188" spans="1:8" ht="15" customHeight="1">
      <c r="A188" s="50"/>
      <c r="B188" s="78" t="s">
        <v>13</v>
      </c>
      <c r="C188" s="14" t="s">
        <v>1617</v>
      </c>
      <c r="D188" s="154"/>
      <c r="E188" s="14" t="s">
        <v>1618</v>
      </c>
      <c r="F188" s="154" t="str">
        <f>IF(wskakunin_owner8__address="", "", wskakunin_owner8__address)</f>
        <v/>
      </c>
      <c r="H188" s="17"/>
    </row>
    <row r="189" spans="1:8" ht="15" customHeight="1">
      <c r="A189" s="50"/>
      <c r="B189" s="78" t="s">
        <v>14</v>
      </c>
      <c r="C189" s="14" t="s">
        <v>1619</v>
      </c>
      <c r="D189" s="240"/>
      <c r="E189" s="14" t="s">
        <v>1620</v>
      </c>
      <c r="F189" s="154" t="str">
        <f>IF(wskakunin_owner8_TEL="", "", wskakunin_owner8_TEL)</f>
        <v/>
      </c>
      <c r="H189" s="17"/>
    </row>
    <row r="190" spans="1:8" ht="15" customHeight="1">
      <c r="A190" s="50"/>
      <c r="B190" s="153"/>
      <c r="D190" s="34"/>
      <c r="F190" s="17"/>
      <c r="H190" s="17"/>
    </row>
    <row r="191" spans="1:8" ht="15" customHeight="1">
      <c r="A191" s="46" t="s">
        <v>1495</v>
      </c>
      <c r="B191" s="49"/>
      <c r="H191" s="17"/>
    </row>
    <row r="192" spans="1:8" ht="15" customHeight="1">
      <c r="A192" s="84"/>
      <c r="B192" s="78" t="s">
        <v>120</v>
      </c>
      <c r="C192" s="14" t="s">
        <v>1621</v>
      </c>
      <c r="D192" s="154"/>
      <c r="E192" s="14" t="s">
        <v>1622</v>
      </c>
      <c r="F192" s="154" t="str">
        <f>IF(wskakunin_owner9_JIMU_NAME="", "", wskakunin_owner9_JIMU_NAME)</f>
        <v/>
      </c>
      <c r="H192" s="17"/>
    </row>
    <row r="193" spans="1:8" ht="15" customHeight="1">
      <c r="A193" s="84"/>
      <c r="B193" s="78" t="s">
        <v>182</v>
      </c>
      <c r="C193" s="14" t="s">
        <v>1623</v>
      </c>
      <c r="D193" s="154"/>
      <c r="E193" s="14" t="s">
        <v>1624</v>
      </c>
      <c r="F193" s="154" t="str">
        <f>IF(wskakunin_owner9_JIMU_NAME_KANA="","",wskakunin_owner9_JIMU_NAME_KANA)</f>
        <v/>
      </c>
      <c r="H193" s="17"/>
    </row>
    <row r="194" spans="1:8" ht="15" customHeight="1">
      <c r="A194" s="84"/>
      <c r="B194" s="78" t="s">
        <v>119</v>
      </c>
      <c r="C194" s="14" t="s">
        <v>1625</v>
      </c>
      <c r="D194" s="154"/>
      <c r="E194" s="14" t="s">
        <v>1626</v>
      </c>
      <c r="F194" s="154" t="str">
        <f>IF(wskakunin_owner9_POST="", "", wskakunin_owner9_POST)</f>
        <v/>
      </c>
      <c r="H194" s="17"/>
    </row>
    <row r="195" spans="1:8" ht="15" customHeight="1">
      <c r="A195" s="84"/>
      <c r="B195" s="78" t="s">
        <v>183</v>
      </c>
      <c r="C195" s="14" t="s">
        <v>1627</v>
      </c>
      <c r="D195" s="154"/>
      <c r="E195" s="14" t="s">
        <v>1628</v>
      </c>
      <c r="F195" s="154" t="str">
        <f>IF(wskakunin_owner9_POST_KANA="","",wskakunin_owner9_POST_KANA)</f>
        <v/>
      </c>
      <c r="H195" s="17"/>
    </row>
    <row r="196" spans="1:8" ht="15" customHeight="1">
      <c r="A196" s="84"/>
      <c r="B196" s="78" t="s">
        <v>11</v>
      </c>
      <c r="C196" s="14" t="s">
        <v>1629</v>
      </c>
      <c r="D196" s="154"/>
      <c r="E196" s="14" t="s">
        <v>1630</v>
      </c>
      <c r="F196" s="154" t="str">
        <f>IF(wskakunin_owner9_NAME="", "", wskakunin_owner9_NAME)</f>
        <v/>
      </c>
      <c r="H196" s="17"/>
    </row>
    <row r="197" spans="1:8" ht="15" customHeight="1">
      <c r="A197" s="50"/>
      <c r="B197" s="78" t="s">
        <v>184</v>
      </c>
      <c r="C197" s="14" t="s">
        <v>1631</v>
      </c>
      <c r="D197" s="154"/>
      <c r="E197" s="14" t="s">
        <v>1632</v>
      </c>
      <c r="F197" s="154" t="str">
        <f>IF(wskakunin_owner9_NAME_KANA="","",wskakunin_owner9_NAME_KANA)</f>
        <v/>
      </c>
      <c r="H197" s="17"/>
    </row>
    <row r="198" spans="1:8" ht="15" customHeight="1">
      <c r="A198" s="50"/>
      <c r="B198" s="78" t="s">
        <v>12</v>
      </c>
      <c r="C198" s="14" t="s">
        <v>1633</v>
      </c>
      <c r="D198" s="240"/>
      <c r="E198" s="14" t="s">
        <v>1634</v>
      </c>
      <c r="F198" s="154" t="str">
        <f>IF(wskakunin_owner9_ZIP="", "", wskakunin_owner9_ZIP)</f>
        <v/>
      </c>
      <c r="H198" s="17"/>
    </row>
    <row r="199" spans="1:8" ht="15" customHeight="1">
      <c r="A199" s="50"/>
      <c r="B199" s="78" t="s">
        <v>13</v>
      </c>
      <c r="C199" s="14" t="s">
        <v>1635</v>
      </c>
      <c r="D199" s="154"/>
      <c r="E199" s="14" t="s">
        <v>1636</v>
      </c>
      <c r="F199" s="154" t="str">
        <f>IF(wskakunin_owner9__address="", "", wskakunin_owner9__address)</f>
        <v/>
      </c>
      <c r="H199" s="17"/>
    </row>
    <row r="200" spans="1:8" ht="15" customHeight="1">
      <c r="A200" s="50"/>
      <c r="B200" s="78" t="s">
        <v>14</v>
      </c>
      <c r="C200" s="14" t="s">
        <v>1637</v>
      </c>
      <c r="D200" s="240"/>
      <c r="E200" s="14" t="s">
        <v>1638</v>
      </c>
      <c r="F200" s="154" t="str">
        <f>IF(wskakunin_owner9_TEL="", "", wskakunin_owner9_TEL)</f>
        <v/>
      </c>
      <c r="H200" s="17"/>
    </row>
    <row r="201" spans="1:8" ht="15" customHeight="1">
      <c r="A201" s="50"/>
      <c r="B201" s="153"/>
      <c r="D201" s="34"/>
      <c r="F201" s="17"/>
      <c r="H201" s="17"/>
    </row>
    <row r="202" spans="1:8" ht="15" customHeight="1">
      <c r="A202" s="52" t="s">
        <v>128</v>
      </c>
      <c r="B202" s="112"/>
      <c r="G202" s="17"/>
      <c r="H202" s="17"/>
    </row>
    <row r="203" spans="1:8" ht="15" customHeight="1">
      <c r="A203" s="113"/>
      <c r="B203" s="77" t="s">
        <v>627</v>
      </c>
      <c r="C203" s="14" t="s">
        <v>593</v>
      </c>
      <c r="D203" s="246" t="s">
        <v>3269</v>
      </c>
      <c r="E203" s="14" t="s">
        <v>174</v>
      </c>
      <c r="F203" s="246" t="str">
        <f>IF(wskakunin_dairi1__sikaku="", "", wskakunin_dairi1__sikaku)</f>
        <v>一級建築士大臣登録第291061号</v>
      </c>
      <c r="G203" s="17"/>
      <c r="H203" s="17"/>
    </row>
    <row r="204" spans="1:8" ht="15" customHeight="1">
      <c r="A204" s="113"/>
      <c r="B204" s="77" t="s">
        <v>628</v>
      </c>
      <c r="C204" s="14" t="s">
        <v>625</v>
      </c>
      <c r="D204" s="246" t="s">
        <v>203</v>
      </c>
      <c r="E204" s="14" t="s">
        <v>650</v>
      </c>
      <c r="F204" s="246" t="str">
        <f>IF(wskakunin_dairi1_SIKAKU__label="","",wskakunin_dairi1_SIKAKU__label)</f>
        <v>一級</v>
      </c>
      <c r="G204" s="17"/>
      <c r="H204" s="17"/>
    </row>
    <row r="205" spans="1:8" ht="15" customHeight="1">
      <c r="A205" s="113"/>
      <c r="B205" s="77" t="s">
        <v>623</v>
      </c>
      <c r="C205" s="14" t="s">
        <v>1441</v>
      </c>
      <c r="D205" s="246" t="s">
        <v>228</v>
      </c>
      <c r="E205" s="14" t="s">
        <v>651</v>
      </c>
      <c r="F205" s="246" t="str">
        <f>IF(wskakunin_dairi1_TOUROKU_KIKAN__label="","",wskakunin_dairi1_TOUROKU_KIKAN__label)</f>
        <v>大臣</v>
      </c>
      <c r="G205" s="17"/>
      <c r="H205" s="17"/>
    </row>
    <row r="206" spans="1:8" ht="15" customHeight="1">
      <c r="A206" s="113"/>
      <c r="B206" s="77" t="s">
        <v>624</v>
      </c>
      <c r="C206" s="14" t="s">
        <v>626</v>
      </c>
      <c r="D206" s="248" t="s">
        <v>3273</v>
      </c>
      <c r="E206" s="14" t="s">
        <v>649</v>
      </c>
      <c r="F206" s="246" t="str">
        <f>IF(wskakunin_dairi1_KENTIKUSI_NO="","",wskakunin_dairi1_KENTIKUSI_NO)</f>
        <v>291061</v>
      </c>
      <c r="G206" s="17"/>
      <c r="H206" s="17"/>
    </row>
    <row r="207" spans="1:8" ht="15" customHeight="1">
      <c r="A207" s="61"/>
      <c r="B207" s="77" t="s">
        <v>11</v>
      </c>
      <c r="C207" s="14" t="s">
        <v>155</v>
      </c>
      <c r="D207" s="246" t="s">
        <v>3274</v>
      </c>
      <c r="E207" s="14" t="s">
        <v>175</v>
      </c>
      <c r="F207" s="246" t="str">
        <f>IF(wskakunin_dairi1_NAME="", "", wskakunin_dairi1_NAME)</f>
        <v>木村　賢</v>
      </c>
      <c r="G207" s="17"/>
      <c r="H207" s="17"/>
    </row>
    <row r="208" spans="1:8" ht="15" customHeight="1">
      <c r="A208" s="61"/>
      <c r="B208" s="77" t="s">
        <v>124</v>
      </c>
      <c r="C208" s="14" t="s">
        <v>156</v>
      </c>
      <c r="D208" s="246"/>
      <c r="E208" s="14" t="s">
        <v>176</v>
      </c>
      <c r="F208" s="246" t="str">
        <f>IF(wskakunin_dairi1_NAME_KANA="", "", wskakunin_dairi1_NAME_KANA)</f>
        <v/>
      </c>
      <c r="G208" s="17"/>
      <c r="H208" s="17"/>
    </row>
    <row r="209" spans="1:8" ht="15" customHeight="1">
      <c r="A209" s="61"/>
      <c r="B209" s="77" t="s">
        <v>629</v>
      </c>
      <c r="C209" s="14" t="s">
        <v>632</v>
      </c>
      <c r="D209" s="246" t="s">
        <v>3270</v>
      </c>
      <c r="E209" s="14" t="s">
        <v>177</v>
      </c>
      <c r="F209" s="246" t="str">
        <f>IF(wskakunin_dairi1_JIMU__sikaku="", "", wskakunin_dairi1_JIMU__sikaku)</f>
        <v>一級建築士事務所静岡県知事登録第(6)4774号</v>
      </c>
      <c r="G209" s="17"/>
      <c r="H209" s="17"/>
    </row>
    <row r="210" spans="1:8" ht="15" customHeight="1">
      <c r="A210" s="61"/>
      <c r="B210" s="77" t="s">
        <v>121</v>
      </c>
      <c r="C210" s="14" t="s">
        <v>633</v>
      </c>
      <c r="D210" s="246" t="s">
        <v>203</v>
      </c>
      <c r="E210" s="14" t="s">
        <v>1483</v>
      </c>
      <c r="F210" s="246" t="str">
        <f>IF(wskakunin_dairi1_JIMU_SIKAKU__label="","",wskakunin_dairi1_JIMU_SIKAKU__label)</f>
        <v>一級</v>
      </c>
      <c r="G210" s="17"/>
      <c r="H210" s="17"/>
    </row>
    <row r="211" spans="1:8" ht="15" customHeight="1">
      <c r="A211" s="61"/>
      <c r="B211" s="77" t="s">
        <v>630</v>
      </c>
      <c r="C211" s="14" t="s">
        <v>1440</v>
      </c>
      <c r="D211" s="246" t="s">
        <v>3265</v>
      </c>
      <c r="E211" s="14" t="s">
        <v>652</v>
      </c>
      <c r="F211" s="246" t="str">
        <f>IF(wskakunin_dairi1_JIMU_TOUROKU_KIKAN__label="","",wskakunin_dairi1_JIMU_TOUROKU_KIKAN__label)</f>
        <v>静岡県</v>
      </c>
      <c r="G211" s="17"/>
      <c r="H211" s="17"/>
    </row>
    <row r="212" spans="1:8" ht="15" customHeight="1">
      <c r="A212" s="61"/>
      <c r="B212" s="77" t="s">
        <v>631</v>
      </c>
      <c r="C212" s="14" t="s">
        <v>634</v>
      </c>
      <c r="D212" s="248" t="s">
        <v>3272</v>
      </c>
      <c r="E212" s="14" t="s">
        <v>653</v>
      </c>
      <c r="F212" s="246" t="str">
        <f>IF(wskakunin_dairi1_JIMU_NO="","",wskakunin_dairi1_JIMU_NO)</f>
        <v>(6)4774</v>
      </c>
      <c r="G212" s="17"/>
      <c r="H212" s="17"/>
    </row>
    <row r="213" spans="1:8" ht="15" customHeight="1">
      <c r="A213" s="61"/>
      <c r="B213" s="77" t="s">
        <v>122</v>
      </c>
      <c r="C213" s="14" t="s">
        <v>157</v>
      </c>
      <c r="D213" s="246" t="s">
        <v>3271</v>
      </c>
      <c r="E213" s="14" t="s">
        <v>186</v>
      </c>
      <c r="F213" s="246" t="str">
        <f>IF(wskakunin_dairi1_JIMU_NAME="", "",wskakunin_dairi1_JIMU_NAME)</f>
        <v>株式会社山田工務店　一級建築士事務所</v>
      </c>
      <c r="G213" s="17"/>
      <c r="H213" s="17"/>
    </row>
    <row r="214" spans="1:8" ht="15" customHeight="1">
      <c r="A214" s="61"/>
      <c r="B214" s="77" t="s">
        <v>12</v>
      </c>
      <c r="C214" s="14" t="s">
        <v>158</v>
      </c>
      <c r="D214" s="248" t="s">
        <v>3276</v>
      </c>
      <c r="E214" s="14" t="s">
        <v>187</v>
      </c>
      <c r="F214" s="246" t="str">
        <f>IF(wskakunin_dairi1_ZIP="", "", wskakunin_dairi1_ZIP)</f>
        <v>425-0074</v>
      </c>
      <c r="G214" s="17"/>
      <c r="H214" s="17"/>
    </row>
    <row r="215" spans="1:8" ht="15" customHeight="1">
      <c r="A215" s="61"/>
      <c r="B215" s="77" t="s">
        <v>17</v>
      </c>
      <c r="C215" s="14" t="s">
        <v>159</v>
      </c>
      <c r="D215" s="246" t="s">
        <v>3268</v>
      </c>
      <c r="E215" s="14" t="s">
        <v>188</v>
      </c>
      <c r="F215" s="246" t="str">
        <f>IF(wskakunin_dairi1__address="", "", wskakunin_dairi1__address)</f>
        <v>静岡県焼津市柳新屋648-2</v>
      </c>
      <c r="G215" s="17"/>
      <c r="H215" s="17"/>
    </row>
    <row r="216" spans="1:8" ht="15" customHeight="1">
      <c r="A216" s="61"/>
      <c r="B216" s="77" t="s">
        <v>14</v>
      </c>
      <c r="C216" s="14" t="s">
        <v>160</v>
      </c>
      <c r="D216" s="248" t="s">
        <v>3275</v>
      </c>
      <c r="E216" s="14" t="s">
        <v>189</v>
      </c>
      <c r="F216" s="246" t="str">
        <f>IF(wskakunin_dairi1_TEL="", "", wskakunin_dairi1_TEL)</f>
        <v>054-621-5656</v>
      </c>
      <c r="G216" s="17"/>
      <c r="H216" s="17"/>
    </row>
    <row r="217" spans="1:8" ht="15" customHeight="1">
      <c r="A217" s="61"/>
      <c r="B217" s="77" t="s">
        <v>699</v>
      </c>
      <c r="C217" s="14" t="s">
        <v>700</v>
      </c>
      <c r="D217" s="248"/>
      <c r="E217" s="14" t="s">
        <v>701</v>
      </c>
      <c r="F217" s="246" t="str">
        <f>IF(wskakunin_dairi1_FAX="", "", wskakunin_dairi1_FAX)</f>
        <v/>
      </c>
      <c r="G217" s="17"/>
      <c r="H217" s="17"/>
    </row>
    <row r="218" spans="1:8" ht="15" customHeight="1">
      <c r="A218" s="61"/>
      <c r="B218" s="114" t="s">
        <v>181</v>
      </c>
      <c r="D218" s="17"/>
      <c r="E218" s="14" t="s">
        <v>198</v>
      </c>
      <c r="F218" s="246" t="str">
        <f>IF(wskakunin_dairi1_NAME&amp;wskakunin_dairi1_JIMU_NAME="","",IF(wskakunin_dairi1_JIMU_NAME="",wskakunin_dairi1_NAME,wskakunin_dairi1_JIMU_NAME&amp;"　"&amp;wskakunin_dairi1_NAME))</f>
        <v>株式会社山田工務店　一級建築士事務所　木村　賢</v>
      </c>
      <c r="G218" s="17"/>
      <c r="H218" s="17"/>
    </row>
    <row r="219" spans="1:8" ht="15" customHeight="1">
      <c r="A219" s="62"/>
      <c r="B219" s="115"/>
      <c r="D219" s="34"/>
      <c r="F219" s="17"/>
      <c r="G219" s="17"/>
      <c r="H219" s="17"/>
    </row>
    <row r="220" spans="1:8" ht="15" customHeight="1">
      <c r="A220" s="52" t="s">
        <v>1639</v>
      </c>
      <c r="B220" s="112"/>
      <c r="G220" s="17"/>
      <c r="H220" s="17"/>
    </row>
    <row r="221" spans="1:8" ht="15" customHeight="1">
      <c r="A221" s="113"/>
      <c r="B221" s="77" t="s">
        <v>627</v>
      </c>
      <c r="C221" s="14" t="s">
        <v>1643</v>
      </c>
      <c r="D221" s="246"/>
      <c r="E221" s="14" t="s">
        <v>1644</v>
      </c>
      <c r="F221" s="246" t="str">
        <f>IF(wskakunin_dairi2__sikaku="", "", wskakunin_dairi2__sikaku)</f>
        <v/>
      </c>
      <c r="H221" s="17"/>
    </row>
    <row r="222" spans="1:8" ht="15" customHeight="1">
      <c r="A222" s="113"/>
      <c r="B222" s="77" t="s">
        <v>628</v>
      </c>
      <c r="C222" s="14" t="s">
        <v>1645</v>
      </c>
      <c r="D222" s="246"/>
      <c r="E222" s="14" t="s">
        <v>1646</v>
      </c>
      <c r="F222" s="246" t="str">
        <f>IF(wskakunin_dairi2_SIKAKU__label="","",wskakunin_dairi2_SIKAKU__label)</f>
        <v/>
      </c>
      <c r="H222" s="17"/>
    </row>
    <row r="223" spans="1:8" ht="15" customHeight="1">
      <c r="A223" s="113"/>
      <c r="B223" s="77" t="s">
        <v>623</v>
      </c>
      <c r="C223" s="14" t="s">
        <v>1647</v>
      </c>
      <c r="D223" s="246"/>
      <c r="E223" s="14" t="s">
        <v>1648</v>
      </c>
      <c r="F223" s="246" t="str">
        <f>IF(wskakunin_dairi2_TOUROKU_KIKAN__label="","",wskakunin_dairi2_TOUROKU_KIKAN__label)</f>
        <v/>
      </c>
      <c r="H223" s="17"/>
    </row>
    <row r="224" spans="1:8" ht="15" customHeight="1">
      <c r="A224" s="113"/>
      <c r="B224" s="77" t="s">
        <v>624</v>
      </c>
      <c r="C224" s="14" t="s">
        <v>1649</v>
      </c>
      <c r="D224" s="248"/>
      <c r="E224" s="14" t="s">
        <v>1650</v>
      </c>
      <c r="F224" s="246" t="str">
        <f>IF(wskakunin_dairi2_KENTIKUSI_NO="","",wskakunin_dairi2_KENTIKUSI_NO)</f>
        <v/>
      </c>
      <c r="H224" s="17"/>
    </row>
    <row r="225" spans="1:8" ht="15" customHeight="1">
      <c r="A225" s="61"/>
      <c r="B225" s="77" t="s">
        <v>11</v>
      </c>
      <c r="C225" s="14" t="s">
        <v>1651</v>
      </c>
      <c r="D225" s="246"/>
      <c r="E225" s="14" t="s">
        <v>1652</v>
      </c>
      <c r="F225" s="246" t="str">
        <f>IF(wskakunin_dairi2_NAME="", "", wskakunin_dairi2_NAME)</f>
        <v/>
      </c>
      <c r="H225" s="17"/>
    </row>
    <row r="226" spans="1:8" ht="15" customHeight="1">
      <c r="A226" s="61"/>
      <c r="B226" s="77" t="s">
        <v>124</v>
      </c>
      <c r="C226" s="14" t="s">
        <v>1653</v>
      </c>
      <c r="D226" s="246"/>
      <c r="E226" s="14" t="s">
        <v>1654</v>
      </c>
      <c r="F226" s="246" t="str">
        <f>IF(wskakunin_dairi2_NAME_KANA="", "", wskakunin_dairi2_NAME_KANA)</f>
        <v/>
      </c>
      <c r="H226" s="17"/>
    </row>
    <row r="227" spans="1:8" ht="15" customHeight="1">
      <c r="A227" s="61"/>
      <c r="B227" s="77" t="s">
        <v>629</v>
      </c>
      <c r="C227" s="14" t="s">
        <v>1655</v>
      </c>
      <c r="D227" s="246"/>
      <c r="E227" s="14" t="s">
        <v>1656</v>
      </c>
      <c r="F227" s="246" t="str">
        <f>IF(wskakunin_dairi2_JIMU__sikaku="", "", wskakunin_dairi2_JIMU__sikaku)</f>
        <v/>
      </c>
      <c r="H227" s="17"/>
    </row>
    <row r="228" spans="1:8" ht="15" customHeight="1">
      <c r="A228" s="61"/>
      <c r="B228" s="77" t="s">
        <v>121</v>
      </c>
      <c r="C228" s="14" t="s">
        <v>1657</v>
      </c>
      <c r="D228" s="246"/>
      <c r="E228" s="14" t="s">
        <v>1658</v>
      </c>
      <c r="F228" s="246" t="str">
        <f>IF(wskakunin_dairi2_JIMU_SIKAKU__label="","",wskakunin_dairi2_JIMU_SIKAKU__label)</f>
        <v/>
      </c>
      <c r="H228" s="17"/>
    </row>
    <row r="229" spans="1:8" ht="15" customHeight="1">
      <c r="A229" s="61"/>
      <c r="B229" s="77" t="s">
        <v>630</v>
      </c>
      <c r="C229" s="14" t="s">
        <v>1659</v>
      </c>
      <c r="D229" s="246"/>
      <c r="E229" s="14" t="s">
        <v>1660</v>
      </c>
      <c r="F229" s="246" t="str">
        <f>IF(wskakunin_dairi2_JIMU_TOUROKU_KIKAN__label="","",wskakunin_dairi2_JIMU_TOUROKU_KIKAN__label)</f>
        <v/>
      </c>
      <c r="H229" s="17"/>
    </row>
    <row r="230" spans="1:8" ht="15" customHeight="1">
      <c r="A230" s="61"/>
      <c r="B230" s="77" t="s">
        <v>631</v>
      </c>
      <c r="C230" s="14" t="s">
        <v>1661</v>
      </c>
      <c r="D230" s="248"/>
      <c r="E230" s="14" t="s">
        <v>1662</v>
      </c>
      <c r="F230" s="246" t="str">
        <f>IF(wskakunin_dairi2_JIMU_NO="","",wskakunin_dairi2_JIMU_NO)</f>
        <v/>
      </c>
      <c r="H230" s="17"/>
    </row>
    <row r="231" spans="1:8" ht="15" customHeight="1">
      <c r="A231" s="61"/>
      <c r="B231" s="77" t="s">
        <v>122</v>
      </c>
      <c r="C231" s="14" t="s">
        <v>1663</v>
      </c>
      <c r="D231" s="246"/>
      <c r="E231" s="14" t="s">
        <v>1664</v>
      </c>
      <c r="F231" s="246" t="str">
        <f>IF(wskakunin_dairi2_JIMU_NAME="", "",wskakunin_dairi2_JIMU_NAME)</f>
        <v/>
      </c>
      <c r="H231" s="17"/>
    </row>
    <row r="232" spans="1:8" ht="15" customHeight="1">
      <c r="A232" s="61"/>
      <c r="B232" s="77" t="s">
        <v>12</v>
      </c>
      <c r="C232" s="14" t="s">
        <v>1665</v>
      </c>
      <c r="D232" s="248"/>
      <c r="E232" s="14" t="s">
        <v>1666</v>
      </c>
      <c r="F232" s="246" t="str">
        <f>IF(wskakunin_dairi2_ZIP="", "", wskakunin_dairi2_ZIP)</f>
        <v/>
      </c>
      <c r="H232" s="17"/>
    </row>
    <row r="233" spans="1:8" ht="15" customHeight="1">
      <c r="A233" s="61"/>
      <c r="B233" s="77" t="s">
        <v>17</v>
      </c>
      <c r="C233" s="14" t="s">
        <v>1667</v>
      </c>
      <c r="D233" s="246"/>
      <c r="E233" s="14" t="s">
        <v>1668</v>
      </c>
      <c r="F233" s="246" t="str">
        <f>IF(wskakunin_dairi2__address="", "", wskakunin_dairi2__address)</f>
        <v/>
      </c>
      <c r="H233" s="17"/>
    </row>
    <row r="234" spans="1:8" ht="15" customHeight="1">
      <c r="A234" s="61"/>
      <c r="B234" s="77" t="s">
        <v>14</v>
      </c>
      <c r="C234" s="14" t="s">
        <v>1669</v>
      </c>
      <c r="D234" s="248"/>
      <c r="E234" s="14" t="s">
        <v>1670</v>
      </c>
      <c r="F234" s="246" t="str">
        <f>IF(wskakunin_dairi2_TEL="", "", wskakunin_dairi2_TEL)</f>
        <v/>
      </c>
      <c r="H234" s="17"/>
    </row>
    <row r="235" spans="1:8" ht="15" customHeight="1">
      <c r="A235" s="61"/>
      <c r="B235" s="77" t="s">
        <v>699</v>
      </c>
      <c r="C235" s="14" t="s">
        <v>1671</v>
      </c>
      <c r="D235" s="248"/>
      <c r="E235" s="14" t="s">
        <v>1672</v>
      </c>
      <c r="F235" s="246" t="str">
        <f>IF(wskakunin_dairi2_FAX="", "", wskakunin_dairi2_FAX)</f>
        <v/>
      </c>
      <c r="H235" s="17"/>
    </row>
    <row r="236" spans="1:8" ht="15" customHeight="1">
      <c r="A236" s="61"/>
      <c r="B236" s="114" t="s">
        <v>181</v>
      </c>
      <c r="D236" s="17"/>
      <c r="E236" s="14" t="s">
        <v>1673</v>
      </c>
      <c r="F236" s="246" t="str">
        <f>IF(wskakunin_dairi2_NAME&amp;wskakunin_dairi2_JIMU_NAME="","",IF(wskakunin_dairi2_JIMU_NAME="",wskakunin_dairi2_NAME,wskakunin_dairi2_JIMU_NAME&amp;"　"&amp;wskakunin_dairi2_NAME))</f>
        <v/>
      </c>
      <c r="H236" s="17"/>
    </row>
    <row r="237" spans="1:8" ht="15" customHeight="1">
      <c r="A237" s="62"/>
      <c r="B237" s="115"/>
      <c r="D237" s="34"/>
      <c r="F237" s="17"/>
      <c r="H237" s="17"/>
    </row>
    <row r="238" spans="1:8" ht="15" customHeight="1">
      <c r="A238" s="52" t="s">
        <v>1640</v>
      </c>
      <c r="B238" s="112"/>
      <c r="H238" s="17"/>
    </row>
    <row r="239" spans="1:8" ht="15" customHeight="1">
      <c r="A239" s="113"/>
      <c r="B239" s="77" t="s">
        <v>627</v>
      </c>
      <c r="C239" s="14" t="s">
        <v>1674</v>
      </c>
      <c r="D239" s="246"/>
      <c r="E239" s="14" t="s">
        <v>1675</v>
      </c>
      <c r="F239" s="246" t="str">
        <f>IF(wskakunin_dairi3__sikaku="", "", wskakunin_dairi3__sikaku)</f>
        <v/>
      </c>
      <c r="H239" s="17"/>
    </row>
    <row r="240" spans="1:8" ht="15" customHeight="1">
      <c r="A240" s="113"/>
      <c r="B240" s="77" t="s">
        <v>628</v>
      </c>
      <c r="C240" s="14" t="s">
        <v>1676</v>
      </c>
      <c r="D240" s="246"/>
      <c r="E240" s="14" t="s">
        <v>1677</v>
      </c>
      <c r="F240" s="246" t="str">
        <f>IF(wskakunin_dairi3_SIKAKU__label="","",wskakunin_dairi3_SIKAKU__label)</f>
        <v/>
      </c>
      <c r="H240" s="17"/>
    </row>
    <row r="241" spans="1:8" ht="15" customHeight="1">
      <c r="A241" s="113"/>
      <c r="B241" s="77" t="s">
        <v>623</v>
      </c>
      <c r="C241" s="14" t="s">
        <v>1678</v>
      </c>
      <c r="D241" s="246"/>
      <c r="E241" s="14" t="s">
        <v>1679</v>
      </c>
      <c r="F241" s="246" t="str">
        <f>IF(wskakunin_dairi3_TOUROKU_KIKAN__label="","",wskakunin_dairi3_TOUROKU_KIKAN__label)</f>
        <v/>
      </c>
      <c r="H241" s="17"/>
    </row>
    <row r="242" spans="1:8" ht="15" customHeight="1">
      <c r="A242" s="113"/>
      <c r="B242" s="77" t="s">
        <v>624</v>
      </c>
      <c r="C242" s="14" t="s">
        <v>1680</v>
      </c>
      <c r="D242" s="248"/>
      <c r="E242" s="14" t="s">
        <v>1681</v>
      </c>
      <c r="F242" s="246" t="str">
        <f>IF(wskakunin_dairi3_KENTIKUSI_NO="","",wskakunin_dairi3_KENTIKUSI_NO)</f>
        <v/>
      </c>
      <c r="H242" s="17"/>
    </row>
    <row r="243" spans="1:8" ht="15" customHeight="1">
      <c r="A243" s="61"/>
      <c r="B243" s="77" t="s">
        <v>11</v>
      </c>
      <c r="C243" s="14" t="s">
        <v>1682</v>
      </c>
      <c r="D243" s="246"/>
      <c r="E243" s="14" t="s">
        <v>1683</v>
      </c>
      <c r="F243" s="246" t="str">
        <f>IF(wskakunin_dairi3_NAME="", "", wskakunin_dairi3_NAME)</f>
        <v/>
      </c>
      <c r="H243" s="17"/>
    </row>
    <row r="244" spans="1:8" ht="15" customHeight="1">
      <c r="A244" s="61"/>
      <c r="B244" s="77" t="s">
        <v>124</v>
      </c>
      <c r="C244" s="14" t="s">
        <v>1684</v>
      </c>
      <c r="D244" s="246"/>
      <c r="E244" s="14" t="s">
        <v>1685</v>
      </c>
      <c r="F244" s="246" t="str">
        <f>IF(wskakunin_dairi3_NAME_KANA="", "", wskakunin_dairi3_NAME_KANA)</f>
        <v/>
      </c>
      <c r="H244" s="17"/>
    </row>
    <row r="245" spans="1:8" ht="15" customHeight="1">
      <c r="A245" s="61"/>
      <c r="B245" s="77" t="s">
        <v>629</v>
      </c>
      <c r="C245" s="14" t="s">
        <v>1686</v>
      </c>
      <c r="D245" s="246"/>
      <c r="E245" s="14" t="s">
        <v>1687</v>
      </c>
      <c r="F245" s="246" t="str">
        <f>IF(wskakunin_dairi3_JIMU__sikaku="", "", wskakunin_dairi3_JIMU__sikaku)</f>
        <v/>
      </c>
      <c r="H245" s="17"/>
    </row>
    <row r="246" spans="1:8" ht="15" customHeight="1">
      <c r="A246" s="61"/>
      <c r="B246" s="77" t="s">
        <v>121</v>
      </c>
      <c r="C246" s="14" t="s">
        <v>1688</v>
      </c>
      <c r="D246" s="246"/>
      <c r="E246" s="14" t="s">
        <v>1689</v>
      </c>
      <c r="F246" s="246" t="str">
        <f>IF(wskakunin_dairi3_JIMU_SIKAKU__label="","",wskakunin_dairi3_JIMU_SIKAKU__label)</f>
        <v/>
      </c>
      <c r="H246" s="17"/>
    </row>
    <row r="247" spans="1:8" ht="15" customHeight="1">
      <c r="A247" s="61"/>
      <c r="B247" s="77" t="s">
        <v>630</v>
      </c>
      <c r="C247" s="14" t="s">
        <v>1690</v>
      </c>
      <c r="D247" s="246"/>
      <c r="E247" s="14" t="s">
        <v>1691</v>
      </c>
      <c r="F247" s="246" t="str">
        <f>IF(wskakunin_dairi3_JIMU_TOUROKU_KIKAN__label="","",wskakunin_dairi3_JIMU_TOUROKU_KIKAN__label)</f>
        <v/>
      </c>
      <c r="H247" s="17"/>
    </row>
    <row r="248" spans="1:8" ht="15" customHeight="1">
      <c r="A248" s="61"/>
      <c r="B248" s="77" t="s">
        <v>631</v>
      </c>
      <c r="C248" s="14" t="s">
        <v>1692</v>
      </c>
      <c r="D248" s="248"/>
      <c r="E248" s="14" t="s">
        <v>1693</v>
      </c>
      <c r="F248" s="246" t="str">
        <f>IF(wskakunin_dairi3_JIMU_NO="","",wskakunin_dairi3_JIMU_NO)</f>
        <v/>
      </c>
      <c r="H248" s="17"/>
    </row>
    <row r="249" spans="1:8" ht="15" customHeight="1">
      <c r="A249" s="61"/>
      <c r="B249" s="77" t="s">
        <v>122</v>
      </c>
      <c r="C249" s="14" t="s">
        <v>1694</v>
      </c>
      <c r="D249" s="246"/>
      <c r="E249" s="14" t="s">
        <v>1695</v>
      </c>
      <c r="F249" s="246" t="str">
        <f>IF(wskakunin_dairi3_JIMU_NAME="", "",wskakunin_dairi3_JIMU_NAME)</f>
        <v/>
      </c>
      <c r="H249" s="17"/>
    </row>
    <row r="250" spans="1:8" ht="15" customHeight="1">
      <c r="A250" s="61"/>
      <c r="B250" s="77" t="s">
        <v>12</v>
      </c>
      <c r="C250" s="14" t="s">
        <v>1696</v>
      </c>
      <c r="D250" s="248"/>
      <c r="E250" s="14" t="s">
        <v>1697</v>
      </c>
      <c r="F250" s="246" t="str">
        <f>IF(wskakunin_dairi3_ZIP="", "", wskakunin_dairi3_ZIP)</f>
        <v/>
      </c>
      <c r="H250" s="17"/>
    </row>
    <row r="251" spans="1:8" ht="15" customHeight="1">
      <c r="A251" s="61"/>
      <c r="B251" s="77" t="s">
        <v>17</v>
      </c>
      <c r="C251" s="14" t="s">
        <v>1698</v>
      </c>
      <c r="D251" s="246"/>
      <c r="E251" s="14" t="s">
        <v>1699</v>
      </c>
      <c r="F251" s="246" t="str">
        <f>IF(wskakunin_dairi3__address="", "", wskakunin_dairi3__address)</f>
        <v/>
      </c>
      <c r="H251" s="17"/>
    </row>
    <row r="252" spans="1:8" ht="15" customHeight="1">
      <c r="A252" s="61"/>
      <c r="B252" s="77" t="s">
        <v>14</v>
      </c>
      <c r="C252" s="14" t="s">
        <v>1700</v>
      </c>
      <c r="D252" s="248"/>
      <c r="E252" s="14" t="s">
        <v>1701</v>
      </c>
      <c r="F252" s="246" t="str">
        <f>IF(wskakunin_dairi3_TEL="", "", wskakunin_dairi3_TEL)</f>
        <v/>
      </c>
      <c r="H252" s="17"/>
    </row>
    <row r="253" spans="1:8" ht="15" customHeight="1">
      <c r="A253" s="61"/>
      <c r="B253" s="77" t="s">
        <v>699</v>
      </c>
      <c r="C253" s="14" t="s">
        <v>1702</v>
      </c>
      <c r="D253" s="248"/>
      <c r="E253" s="14" t="s">
        <v>1703</v>
      </c>
      <c r="F253" s="246" t="str">
        <f>IF(wskakunin_dairi3_FAX="", "", wskakunin_dairi3_FAX)</f>
        <v/>
      </c>
      <c r="H253" s="17"/>
    </row>
    <row r="254" spans="1:8" ht="15" customHeight="1">
      <c r="A254" s="61"/>
      <c r="B254" s="114" t="s">
        <v>181</v>
      </c>
      <c r="D254" s="17"/>
      <c r="E254" s="14" t="s">
        <v>1704</v>
      </c>
      <c r="F254" s="246" t="str">
        <f>IF(wskakunin_dairi3_NAME&amp;wskakunin_dairi3_JIMU_NAME="","",IF(wskakunin_dairi3_JIMU_NAME="",wskakunin_dairi3_NAME,wskakunin_dairi3_JIMU_NAME&amp;"　"&amp;wskakunin_dairi3_NAME))</f>
        <v/>
      </c>
      <c r="H254" s="17"/>
    </row>
    <row r="255" spans="1:8" ht="15" customHeight="1">
      <c r="A255" s="62"/>
      <c r="B255" s="115"/>
      <c r="D255" s="34"/>
      <c r="F255" s="17"/>
      <c r="H255" s="17"/>
    </row>
    <row r="256" spans="1:8" ht="15" customHeight="1">
      <c r="A256" s="52" t="s">
        <v>1641</v>
      </c>
      <c r="B256" s="112"/>
      <c r="H256" s="17"/>
    </row>
    <row r="257" spans="1:8" ht="15" customHeight="1">
      <c r="A257" s="113"/>
      <c r="B257" s="77" t="s">
        <v>627</v>
      </c>
      <c r="C257" s="14" t="s">
        <v>1705</v>
      </c>
      <c r="D257" s="246"/>
      <c r="E257" s="14" t="s">
        <v>1706</v>
      </c>
      <c r="F257" s="246" t="str">
        <f>IF(wskakunin_dairi4__sikaku="", "", wskakunin_dairi4__sikaku)</f>
        <v/>
      </c>
      <c r="H257" s="17"/>
    </row>
    <row r="258" spans="1:8" ht="15" customHeight="1">
      <c r="A258" s="113"/>
      <c r="B258" s="77" t="s">
        <v>628</v>
      </c>
      <c r="C258" s="14" t="s">
        <v>1707</v>
      </c>
      <c r="D258" s="246"/>
      <c r="E258" s="14" t="s">
        <v>1708</v>
      </c>
      <c r="F258" s="246" t="str">
        <f>IF(wskakunin_dairi4_SIKAKU__label="","",wskakunin_dairi4_SIKAKU__label)</f>
        <v/>
      </c>
      <c r="H258" s="17"/>
    </row>
    <row r="259" spans="1:8" ht="15" customHeight="1">
      <c r="A259" s="113"/>
      <c r="B259" s="77" t="s">
        <v>623</v>
      </c>
      <c r="C259" s="14" t="s">
        <v>1709</v>
      </c>
      <c r="D259" s="246"/>
      <c r="E259" s="14" t="s">
        <v>1710</v>
      </c>
      <c r="F259" s="246" t="str">
        <f>IF(wskakunin_dairi4_TOUROKU_KIKAN__label="","",wskakunin_dairi4_TOUROKU_KIKAN__label)</f>
        <v/>
      </c>
      <c r="H259" s="17"/>
    </row>
    <row r="260" spans="1:8" ht="15" customHeight="1">
      <c r="A260" s="113"/>
      <c r="B260" s="77" t="s">
        <v>624</v>
      </c>
      <c r="C260" s="14" t="s">
        <v>1711</v>
      </c>
      <c r="D260" s="248"/>
      <c r="E260" s="14" t="s">
        <v>1712</v>
      </c>
      <c r="F260" s="246" t="str">
        <f>IF(wskakunin_dairi4_KENTIKUSI_NO="","",wskakunin_dairi4_KENTIKUSI_NO)</f>
        <v/>
      </c>
      <c r="H260" s="17"/>
    </row>
    <row r="261" spans="1:8" ht="15" customHeight="1">
      <c r="A261" s="61"/>
      <c r="B261" s="77" t="s">
        <v>11</v>
      </c>
      <c r="C261" s="14" t="s">
        <v>1713</v>
      </c>
      <c r="D261" s="246"/>
      <c r="E261" s="14" t="s">
        <v>1714</v>
      </c>
      <c r="F261" s="246" t="str">
        <f>IF(wskakunin_dairi4_NAME="", "", wskakunin_dairi4_NAME)</f>
        <v/>
      </c>
      <c r="H261" s="17"/>
    </row>
    <row r="262" spans="1:8" ht="15" customHeight="1">
      <c r="A262" s="61"/>
      <c r="B262" s="77" t="s">
        <v>124</v>
      </c>
      <c r="C262" s="14" t="s">
        <v>1715</v>
      </c>
      <c r="D262" s="246"/>
      <c r="E262" s="14" t="s">
        <v>1716</v>
      </c>
      <c r="F262" s="246" t="str">
        <f>IF(wskakunin_dairi4_NAME_KANA="", "", wskakunin_dairi4_NAME_KANA)</f>
        <v/>
      </c>
      <c r="H262" s="17"/>
    </row>
    <row r="263" spans="1:8" ht="15" customHeight="1">
      <c r="A263" s="61"/>
      <c r="B263" s="77" t="s">
        <v>629</v>
      </c>
      <c r="C263" s="14" t="s">
        <v>1717</v>
      </c>
      <c r="D263" s="246"/>
      <c r="E263" s="14" t="s">
        <v>1718</v>
      </c>
      <c r="F263" s="246" t="str">
        <f>IF(wskakunin_dairi4_JIMU__sikaku="", "", wskakunin_dairi4_JIMU__sikaku)</f>
        <v/>
      </c>
      <c r="H263" s="17"/>
    </row>
    <row r="264" spans="1:8" ht="15" customHeight="1">
      <c r="A264" s="61"/>
      <c r="B264" s="77" t="s">
        <v>121</v>
      </c>
      <c r="C264" s="14" t="s">
        <v>1719</v>
      </c>
      <c r="D264" s="246"/>
      <c r="E264" s="14" t="s">
        <v>1720</v>
      </c>
      <c r="F264" s="246" t="str">
        <f>IF(wskakunin_dairi4_JIMU_SIKAKU__label="","",wskakunin_dairi4_JIMU_SIKAKU__label)</f>
        <v/>
      </c>
      <c r="H264" s="17"/>
    </row>
    <row r="265" spans="1:8" ht="15" customHeight="1">
      <c r="A265" s="61"/>
      <c r="B265" s="77" t="s">
        <v>630</v>
      </c>
      <c r="C265" s="14" t="s">
        <v>1721</v>
      </c>
      <c r="D265" s="246"/>
      <c r="E265" s="14" t="s">
        <v>1722</v>
      </c>
      <c r="F265" s="246" t="str">
        <f>IF(wskakunin_dairi4_JIMU_TOUROKU_KIKAN__label="","",wskakunin_dairi4_JIMU_TOUROKU_KIKAN__label)</f>
        <v/>
      </c>
      <c r="H265" s="17"/>
    </row>
    <row r="266" spans="1:8" ht="15" customHeight="1">
      <c r="A266" s="61"/>
      <c r="B266" s="77" t="s">
        <v>631</v>
      </c>
      <c r="C266" s="14" t="s">
        <v>1723</v>
      </c>
      <c r="D266" s="248"/>
      <c r="E266" s="14" t="s">
        <v>1724</v>
      </c>
      <c r="F266" s="246" t="str">
        <f>IF(wskakunin_dairi4_JIMU_NO="","",wskakunin_dairi4_JIMU_NO)</f>
        <v/>
      </c>
      <c r="H266" s="17"/>
    </row>
    <row r="267" spans="1:8" ht="15" customHeight="1">
      <c r="A267" s="61"/>
      <c r="B267" s="77" t="s">
        <v>122</v>
      </c>
      <c r="C267" s="14" t="s">
        <v>1725</v>
      </c>
      <c r="D267" s="246"/>
      <c r="E267" s="14" t="s">
        <v>1726</v>
      </c>
      <c r="F267" s="246" t="str">
        <f>IF(wskakunin_dairi4_JIMU_NAME="", "",wskakunin_dairi4_JIMU_NAME)</f>
        <v/>
      </c>
      <c r="H267" s="17"/>
    </row>
    <row r="268" spans="1:8" ht="15" customHeight="1">
      <c r="A268" s="61"/>
      <c r="B268" s="77" t="s">
        <v>12</v>
      </c>
      <c r="C268" s="14" t="s">
        <v>1727</v>
      </c>
      <c r="D268" s="248"/>
      <c r="E268" s="14" t="s">
        <v>1728</v>
      </c>
      <c r="F268" s="246" t="str">
        <f>IF(wskakunin_dairi4_ZIP="", "", wskakunin_dairi4_ZIP)</f>
        <v/>
      </c>
      <c r="H268" s="17"/>
    </row>
    <row r="269" spans="1:8" ht="15" customHeight="1">
      <c r="A269" s="61"/>
      <c r="B269" s="77" t="s">
        <v>17</v>
      </c>
      <c r="C269" s="14" t="s">
        <v>1729</v>
      </c>
      <c r="D269" s="246"/>
      <c r="E269" s="14" t="s">
        <v>1730</v>
      </c>
      <c r="F269" s="246" t="str">
        <f>IF(wskakunin_dairi4__address="", "", wskakunin_dairi4__address)</f>
        <v/>
      </c>
      <c r="H269" s="17"/>
    </row>
    <row r="270" spans="1:8" ht="15" customHeight="1">
      <c r="A270" s="61"/>
      <c r="B270" s="77" t="s">
        <v>14</v>
      </c>
      <c r="C270" s="14" t="s">
        <v>1731</v>
      </c>
      <c r="D270" s="248"/>
      <c r="E270" s="14" t="s">
        <v>1732</v>
      </c>
      <c r="F270" s="246" t="str">
        <f>IF(wskakunin_dairi4_TEL="", "", wskakunin_dairi4_TEL)</f>
        <v/>
      </c>
      <c r="H270" s="17"/>
    </row>
    <row r="271" spans="1:8" ht="15" customHeight="1">
      <c r="A271" s="61"/>
      <c r="B271" s="77" t="s">
        <v>699</v>
      </c>
      <c r="C271" s="14" t="s">
        <v>1733</v>
      </c>
      <c r="D271" s="248"/>
      <c r="E271" s="14" t="s">
        <v>1734</v>
      </c>
      <c r="F271" s="246" t="str">
        <f>IF(wskakunin_dairi4_FAX="", "", wskakunin_dairi4_FAX)</f>
        <v/>
      </c>
      <c r="H271" s="17"/>
    </row>
    <row r="272" spans="1:8" ht="15" customHeight="1">
      <c r="A272" s="61"/>
      <c r="B272" s="114" t="s">
        <v>181</v>
      </c>
      <c r="D272" s="17"/>
      <c r="E272" s="14" t="s">
        <v>1735</v>
      </c>
      <c r="F272" s="246" t="str">
        <f>IF(wskakunin_dairi4_NAME&amp;wskakunin_dairi4_JIMU_NAME="","",IF(wskakunin_dairi4_JIMU_NAME="",wskakunin_dairi4_NAME,wskakunin_dairi4_JIMU_NAME&amp;"　"&amp;wskakunin_dairi4_NAME))</f>
        <v/>
      </c>
      <c r="H272" s="17"/>
    </row>
    <row r="273" spans="1:8" ht="15" customHeight="1">
      <c r="A273" s="62"/>
      <c r="B273" s="115"/>
      <c r="D273" s="34"/>
      <c r="F273" s="17"/>
      <c r="H273" s="17"/>
    </row>
    <row r="274" spans="1:8" ht="15" customHeight="1">
      <c r="A274" s="52" t="s">
        <v>1642</v>
      </c>
      <c r="B274" s="112"/>
      <c r="H274" s="17"/>
    </row>
    <row r="275" spans="1:8" ht="15" customHeight="1">
      <c r="A275" s="113"/>
      <c r="B275" s="77" t="s">
        <v>627</v>
      </c>
      <c r="C275" s="14" t="s">
        <v>1736</v>
      </c>
      <c r="D275" s="246"/>
      <c r="E275" s="14" t="s">
        <v>1737</v>
      </c>
      <c r="F275" s="246" t="str">
        <f>IF(wskakunin_dairi5__sikaku="", "", wskakunin_dairi5__sikaku)</f>
        <v/>
      </c>
      <c r="H275" s="17"/>
    </row>
    <row r="276" spans="1:8" ht="15" customHeight="1">
      <c r="A276" s="113"/>
      <c r="B276" s="77" t="s">
        <v>628</v>
      </c>
      <c r="C276" s="14" t="s">
        <v>1738</v>
      </c>
      <c r="D276" s="246"/>
      <c r="E276" s="14" t="s">
        <v>1739</v>
      </c>
      <c r="F276" s="246" t="str">
        <f>IF(wskakunin_dairi5_SIKAKU__label="","",wskakunin_dairi5_SIKAKU__label)</f>
        <v/>
      </c>
      <c r="H276" s="17"/>
    </row>
    <row r="277" spans="1:8" ht="15" customHeight="1">
      <c r="A277" s="113"/>
      <c r="B277" s="77" t="s">
        <v>623</v>
      </c>
      <c r="C277" s="14" t="s">
        <v>1740</v>
      </c>
      <c r="D277" s="246"/>
      <c r="E277" s="14" t="s">
        <v>1741</v>
      </c>
      <c r="F277" s="246" t="str">
        <f>IF(wskakunin_dairi5_TOUROKU_KIKAN__label="","",wskakunin_dairi5_TOUROKU_KIKAN__label)</f>
        <v/>
      </c>
      <c r="H277" s="17"/>
    </row>
    <row r="278" spans="1:8" ht="15" customHeight="1">
      <c r="A278" s="113"/>
      <c r="B278" s="77" t="s">
        <v>624</v>
      </c>
      <c r="C278" s="14" t="s">
        <v>1742</v>
      </c>
      <c r="D278" s="248"/>
      <c r="E278" s="14" t="s">
        <v>1743</v>
      </c>
      <c r="F278" s="246" t="str">
        <f>IF(wskakunin_dairi5_KENTIKUSI_NO="","",wskakunin_dairi5_KENTIKUSI_NO)</f>
        <v/>
      </c>
      <c r="H278" s="17"/>
    </row>
    <row r="279" spans="1:8" ht="15" customHeight="1">
      <c r="A279" s="61"/>
      <c r="B279" s="77" t="s">
        <v>11</v>
      </c>
      <c r="C279" s="14" t="s">
        <v>1744</v>
      </c>
      <c r="D279" s="246"/>
      <c r="E279" s="14" t="s">
        <v>1745</v>
      </c>
      <c r="F279" s="246" t="str">
        <f>IF(wskakunin_dairi5_NAME="", "", wskakunin_dairi5_NAME)</f>
        <v/>
      </c>
      <c r="H279" s="17"/>
    </row>
    <row r="280" spans="1:8" ht="15" customHeight="1">
      <c r="A280" s="61"/>
      <c r="B280" s="77" t="s">
        <v>124</v>
      </c>
      <c r="C280" s="14" t="s">
        <v>1746</v>
      </c>
      <c r="D280" s="246"/>
      <c r="E280" s="14" t="s">
        <v>1747</v>
      </c>
      <c r="F280" s="246" t="str">
        <f>IF(wskakunin_dairi5_NAME_KANA="", "", wskakunin_dairi5_NAME_KANA)</f>
        <v/>
      </c>
      <c r="H280" s="17"/>
    </row>
    <row r="281" spans="1:8" ht="15" customHeight="1">
      <c r="A281" s="61"/>
      <c r="B281" s="77" t="s">
        <v>629</v>
      </c>
      <c r="C281" s="14" t="s">
        <v>1748</v>
      </c>
      <c r="D281" s="246"/>
      <c r="E281" s="14" t="s">
        <v>1749</v>
      </c>
      <c r="F281" s="246" t="str">
        <f>IF(wskakunin_dairi5_JIMU__sikaku="", "", wskakunin_dairi5_JIMU__sikaku)</f>
        <v/>
      </c>
      <c r="H281" s="17"/>
    </row>
    <row r="282" spans="1:8" ht="15" customHeight="1">
      <c r="A282" s="61"/>
      <c r="B282" s="77" t="s">
        <v>121</v>
      </c>
      <c r="C282" s="14" t="s">
        <v>1750</v>
      </c>
      <c r="D282" s="246"/>
      <c r="E282" s="14" t="s">
        <v>1751</v>
      </c>
      <c r="F282" s="246" t="str">
        <f>IF(wskakunin_dairi5_JIMU_SIKAKU__label="","",wskakunin_dairi5_JIMU_SIKAKU__label)</f>
        <v/>
      </c>
      <c r="H282" s="17"/>
    </row>
    <row r="283" spans="1:8" ht="15" customHeight="1">
      <c r="A283" s="61"/>
      <c r="B283" s="77" t="s">
        <v>630</v>
      </c>
      <c r="C283" s="14" t="s">
        <v>1752</v>
      </c>
      <c r="D283" s="246"/>
      <c r="E283" s="14" t="s">
        <v>1753</v>
      </c>
      <c r="F283" s="246" t="str">
        <f>IF(wskakunin_dairi5_JIMU_TOUROKU_KIKAN__label="","",wskakunin_dairi5_JIMU_TOUROKU_KIKAN__label)</f>
        <v/>
      </c>
      <c r="H283" s="17"/>
    </row>
    <row r="284" spans="1:8" ht="15" customHeight="1">
      <c r="A284" s="61"/>
      <c r="B284" s="77" t="s">
        <v>631</v>
      </c>
      <c r="C284" s="14" t="s">
        <v>1754</v>
      </c>
      <c r="D284" s="248"/>
      <c r="E284" s="14" t="s">
        <v>1755</v>
      </c>
      <c r="F284" s="246" t="str">
        <f>IF(wskakunin_dairi5_JIMU_NO="","",wskakunin_dairi5_JIMU_NO)</f>
        <v/>
      </c>
      <c r="H284" s="17"/>
    </row>
    <row r="285" spans="1:8" ht="15" customHeight="1">
      <c r="A285" s="61"/>
      <c r="B285" s="77" t="s">
        <v>122</v>
      </c>
      <c r="C285" s="14" t="s">
        <v>1756</v>
      </c>
      <c r="D285" s="246"/>
      <c r="E285" s="14" t="s">
        <v>1757</v>
      </c>
      <c r="F285" s="246" t="str">
        <f>IF(wskakunin_dairi5_JIMU_NAME="", "",wskakunin_dairi5_JIMU_NAME)</f>
        <v/>
      </c>
      <c r="H285" s="17"/>
    </row>
    <row r="286" spans="1:8" ht="15" customHeight="1">
      <c r="A286" s="61"/>
      <c r="B286" s="77" t="s">
        <v>12</v>
      </c>
      <c r="C286" s="14" t="s">
        <v>1758</v>
      </c>
      <c r="D286" s="248"/>
      <c r="E286" s="14" t="s">
        <v>1759</v>
      </c>
      <c r="F286" s="246" t="str">
        <f>IF(wskakunin_dairi5_ZIP="", "", wskakunin_dairi5_ZIP)</f>
        <v/>
      </c>
      <c r="H286" s="17"/>
    </row>
    <row r="287" spans="1:8" ht="15" customHeight="1">
      <c r="A287" s="61"/>
      <c r="B287" s="77" t="s">
        <v>17</v>
      </c>
      <c r="C287" s="14" t="s">
        <v>1760</v>
      </c>
      <c r="D287" s="246"/>
      <c r="E287" s="14" t="s">
        <v>1761</v>
      </c>
      <c r="F287" s="246" t="str">
        <f>IF(wskakunin_dairi5__address="", "", wskakunin_dairi5__address)</f>
        <v/>
      </c>
      <c r="H287" s="17"/>
    </row>
    <row r="288" spans="1:8" ht="15" customHeight="1">
      <c r="A288" s="61"/>
      <c r="B288" s="77" t="s">
        <v>14</v>
      </c>
      <c r="C288" s="14" t="s">
        <v>1762</v>
      </c>
      <c r="D288" s="248"/>
      <c r="E288" s="14" t="s">
        <v>1763</v>
      </c>
      <c r="F288" s="246" t="str">
        <f>IF(wskakunin_dairi5_TEL="", "", wskakunin_dairi5_TEL)</f>
        <v/>
      </c>
      <c r="H288" s="17"/>
    </row>
    <row r="289" spans="1:8" ht="15" customHeight="1">
      <c r="A289" s="61"/>
      <c r="B289" s="77" t="s">
        <v>699</v>
      </c>
      <c r="C289" s="14" t="s">
        <v>1764</v>
      </c>
      <c r="D289" s="248"/>
      <c r="E289" s="14" t="s">
        <v>1765</v>
      </c>
      <c r="F289" s="246" t="str">
        <f>IF(wskakunin_dairi5_FAX="", "", wskakunin_dairi5_FAX)</f>
        <v/>
      </c>
      <c r="H289" s="17"/>
    </row>
    <row r="290" spans="1:8" ht="15" customHeight="1">
      <c r="A290" s="61"/>
      <c r="B290" s="114" t="s">
        <v>181</v>
      </c>
      <c r="C290" s="17"/>
      <c r="D290" s="17"/>
      <c r="E290" s="14" t="s">
        <v>1766</v>
      </c>
      <c r="F290" s="246" t="str">
        <f>IF(wskakunin_dairi5_NAME&amp;wskakunin_dairi5_JIMU_NAME="","",IF(wskakunin_dairi5_JIMU_NAME="",wskakunin_dairi5_NAME,wskakunin_dairi5_JIMU_NAME&amp;"　"&amp;wskakunin_dairi5_NAME))</f>
        <v/>
      </c>
      <c r="H290" s="17"/>
    </row>
    <row r="291" spans="1:8" ht="15" customHeight="1">
      <c r="A291" s="62"/>
      <c r="B291" s="115"/>
      <c r="D291" s="34"/>
      <c r="F291" s="17"/>
      <c r="G291" s="17"/>
      <c r="H291" s="17"/>
    </row>
    <row r="292" spans="1:8" ht="15" customHeight="1">
      <c r="A292" s="1" t="s">
        <v>667</v>
      </c>
      <c r="B292" s="49"/>
      <c r="G292" s="17"/>
      <c r="H292" s="17"/>
    </row>
    <row r="293" spans="1:8" ht="15" customHeight="1">
      <c r="A293" s="27"/>
      <c r="B293" s="78" t="s">
        <v>627</v>
      </c>
      <c r="C293" s="14" t="s">
        <v>161</v>
      </c>
      <c r="D293" s="154" t="s">
        <v>3269</v>
      </c>
      <c r="E293" s="14" t="s">
        <v>661</v>
      </c>
      <c r="F293" s="154" t="str">
        <f>IF(wskakunin_sekkei1__sikaku="", "", wskakunin_sekkei1__sikaku)</f>
        <v>一級建築士大臣登録第291061号</v>
      </c>
      <c r="G293" s="17"/>
      <c r="H293" s="17"/>
    </row>
    <row r="294" spans="1:8" ht="15" customHeight="1">
      <c r="A294" s="32"/>
      <c r="B294" s="78" t="s">
        <v>628</v>
      </c>
      <c r="C294" s="14" t="s">
        <v>659</v>
      </c>
      <c r="D294" s="154" t="s">
        <v>203</v>
      </c>
      <c r="E294" s="14" t="s">
        <v>662</v>
      </c>
      <c r="F294" s="154" t="str">
        <f>IF(wskakunin_sekkei1_SIKAKU__label="","",wskakunin_sekkei1_SIKAKU__label)</f>
        <v>一級</v>
      </c>
      <c r="G294" s="17"/>
      <c r="H294" s="17"/>
    </row>
    <row r="295" spans="1:8" ht="15" customHeight="1">
      <c r="A295" s="32"/>
      <c r="B295" s="78" t="s">
        <v>623</v>
      </c>
      <c r="C295" s="14" t="s">
        <v>1396</v>
      </c>
      <c r="D295" s="154" t="s">
        <v>228</v>
      </c>
      <c r="E295" s="14" t="s">
        <v>663</v>
      </c>
      <c r="F295" s="154" t="str">
        <f>IF(wskakunin_sekkei1_TOUROKU_KIKAN__label="","",wskakunin_sekkei1_TOUROKU_KIKAN__label)</f>
        <v>大臣</v>
      </c>
      <c r="G295" s="17"/>
      <c r="H295" s="17"/>
    </row>
    <row r="296" spans="1:8" ht="15" customHeight="1">
      <c r="A296" s="32"/>
      <c r="B296" s="78" t="s">
        <v>624</v>
      </c>
      <c r="C296" s="14" t="s">
        <v>660</v>
      </c>
      <c r="D296" s="240" t="s">
        <v>3273</v>
      </c>
      <c r="E296" s="14" t="s">
        <v>664</v>
      </c>
      <c r="F296" s="154" t="str">
        <f>IF(wskakunin_sekkei1_KENTIKUSI_NO="","",wskakunin_sekkei1_KENTIKUSI_NO)</f>
        <v>291061</v>
      </c>
      <c r="G296" s="17"/>
      <c r="H296" s="17"/>
    </row>
    <row r="297" spans="1:8" ht="15" customHeight="1">
      <c r="A297" s="44"/>
      <c r="B297" s="78" t="s">
        <v>11</v>
      </c>
      <c r="C297" s="14" t="s">
        <v>162</v>
      </c>
      <c r="D297" s="154" t="s">
        <v>3274</v>
      </c>
      <c r="E297" s="14" t="s">
        <v>190</v>
      </c>
      <c r="F297" s="154" t="str">
        <f>IF(wskakunin_sekkei1_NAME="", "", wskakunin_sekkei1_NAME)</f>
        <v>木村　賢</v>
      </c>
      <c r="G297" s="17"/>
      <c r="H297" s="17"/>
    </row>
    <row r="298" spans="1:8" ht="15" customHeight="1">
      <c r="A298" s="44"/>
      <c r="B298" s="78" t="s">
        <v>629</v>
      </c>
      <c r="C298" s="14" t="s">
        <v>654</v>
      </c>
      <c r="D298" s="154" t="s">
        <v>3270</v>
      </c>
      <c r="E298" s="14" t="s">
        <v>191</v>
      </c>
      <c r="F298" s="154" t="str">
        <f>IF(wskakunin_sekkei1_JIMU__sikaku="", "", wskakunin_sekkei1_JIMU__sikaku)</f>
        <v>一級建築士事務所静岡県知事登録第(6)4774号</v>
      </c>
      <c r="G298" s="17"/>
      <c r="H298" s="17"/>
    </row>
    <row r="299" spans="1:8" ht="15" customHeight="1">
      <c r="A299" s="44"/>
      <c r="B299" s="78" t="s">
        <v>121</v>
      </c>
      <c r="C299" s="14" t="s">
        <v>655</v>
      </c>
      <c r="D299" s="154" t="s">
        <v>203</v>
      </c>
      <c r="E299" s="14" t="s">
        <v>1484</v>
      </c>
      <c r="F299" s="154" t="str">
        <f>IF(wskakunin_sekkei1_JIMU_SIKAKU__label="","",wskakunin_sekkei1_JIMU_SIKAKU__label)</f>
        <v>一級</v>
      </c>
      <c r="G299" s="17"/>
      <c r="H299" s="17"/>
    </row>
    <row r="300" spans="1:8" ht="15" customHeight="1">
      <c r="A300" s="44"/>
      <c r="B300" s="78" t="s">
        <v>630</v>
      </c>
      <c r="C300" s="14" t="s">
        <v>1397</v>
      </c>
      <c r="D300" s="154" t="s">
        <v>3265</v>
      </c>
      <c r="E300" s="14" t="s">
        <v>657</v>
      </c>
      <c r="F300" s="154" t="str">
        <f>IF(wskakunin_sekkei1_JIMU_TOUROKU_KIKAN__label="","",wskakunin_sekkei1_JIMU_TOUROKU_KIKAN__label)</f>
        <v>静岡県</v>
      </c>
      <c r="G300" s="17"/>
      <c r="H300" s="17"/>
    </row>
    <row r="301" spans="1:8" ht="15" customHeight="1">
      <c r="A301" s="44"/>
      <c r="B301" s="78" t="s">
        <v>631</v>
      </c>
      <c r="C301" s="14" t="s">
        <v>656</v>
      </c>
      <c r="D301" s="240" t="s">
        <v>3272</v>
      </c>
      <c r="E301" s="14" t="s">
        <v>658</v>
      </c>
      <c r="F301" s="154" t="str">
        <f>IF(wskakunin_sekkei1_JIMU_NO="","",wskakunin_sekkei1_JIMU_NO)</f>
        <v>(6)4774</v>
      </c>
      <c r="G301" s="17"/>
      <c r="H301" s="17"/>
    </row>
    <row r="302" spans="1:8" ht="15" customHeight="1">
      <c r="A302" s="60"/>
      <c r="B302" s="78" t="s">
        <v>122</v>
      </c>
      <c r="C302" s="14" t="s">
        <v>163</v>
      </c>
      <c r="D302" s="154" t="s">
        <v>3271</v>
      </c>
      <c r="E302" s="14" t="s">
        <v>192</v>
      </c>
      <c r="F302" s="154" t="str">
        <f>IF(wskakunin_sekkei1_JIMU_NAME="", "", wskakunin_sekkei1_JIMU_NAME)</f>
        <v>株式会社山田工務店　一級建築士事務所</v>
      </c>
      <c r="G302" s="17"/>
      <c r="H302" s="17"/>
    </row>
    <row r="303" spans="1:8" ht="15" customHeight="1">
      <c r="A303" s="44"/>
      <c r="B303" s="78" t="s">
        <v>647</v>
      </c>
      <c r="D303" s="34"/>
      <c r="E303" s="14" t="s">
        <v>648</v>
      </c>
      <c r="F303" s="154" t="str">
        <f>wskakunin_sekkei1_JIMU_NAME&amp;" "&amp;wskakunin_sekkei1_NAME</f>
        <v>株式会社山田工務店　一級建築士事務所 木村　賢</v>
      </c>
      <c r="G303" s="17"/>
      <c r="H303" s="17"/>
    </row>
    <row r="304" spans="1:8" ht="15" customHeight="1">
      <c r="A304" s="60"/>
      <c r="B304" s="78" t="s">
        <v>12</v>
      </c>
      <c r="C304" s="14" t="s">
        <v>164</v>
      </c>
      <c r="D304" s="240" t="s">
        <v>3276</v>
      </c>
      <c r="E304" s="14" t="s">
        <v>193</v>
      </c>
      <c r="F304" s="154" t="str">
        <f>IF(wskakunin_sekkei1_ZIP="", "", wskakunin_sekkei1_ZIP)</f>
        <v>425-0074</v>
      </c>
      <c r="G304" s="17"/>
      <c r="H304" s="17" t="s">
        <v>665</v>
      </c>
    </row>
    <row r="305" spans="1:8" ht="15" customHeight="1">
      <c r="A305" s="60"/>
      <c r="B305" s="78" t="s">
        <v>17</v>
      </c>
      <c r="C305" s="14" t="s">
        <v>742</v>
      </c>
      <c r="D305" s="154" t="s">
        <v>3268</v>
      </c>
      <c r="E305" s="14" t="s">
        <v>743</v>
      </c>
      <c r="F305" s="154" t="str">
        <f>IF(wskakunin_sekkei1__address="", "", wskakunin_sekkei1__address)</f>
        <v>静岡県焼津市柳新屋648-2</v>
      </c>
      <c r="G305" s="17"/>
      <c r="H305" s="17"/>
    </row>
    <row r="306" spans="1:8" ht="15" customHeight="1">
      <c r="A306" s="60"/>
      <c r="B306" s="78" t="s">
        <v>14</v>
      </c>
      <c r="C306" s="14" t="s">
        <v>744</v>
      </c>
      <c r="D306" s="240" t="s">
        <v>3275</v>
      </c>
      <c r="E306" s="14" t="s">
        <v>745</v>
      </c>
      <c r="F306" s="154" t="str">
        <f>IF(wskakunin_sekkei1_TEL="", "", wskakunin_sekkei1_TEL)</f>
        <v>054-621-5656</v>
      </c>
      <c r="G306" s="17"/>
      <c r="H306" s="17"/>
    </row>
    <row r="307" spans="1:8" ht="15" customHeight="1">
      <c r="A307" s="60"/>
      <c r="B307" s="78" t="s">
        <v>666</v>
      </c>
      <c r="C307" s="14" t="s">
        <v>746</v>
      </c>
      <c r="D307" s="240" t="s">
        <v>570</v>
      </c>
      <c r="E307" s="14" t="s">
        <v>747</v>
      </c>
      <c r="F307" s="154" t="str">
        <f>IF(wskakunin_sekkei1_DOC="","",wskakunin_sekkei1_DOC)</f>
        <v>設計図書一式</v>
      </c>
      <c r="G307" s="17"/>
      <c r="H307" s="17"/>
    </row>
    <row r="308" spans="1:8" ht="15" customHeight="1">
      <c r="A308" s="60"/>
      <c r="B308" s="86"/>
      <c r="G308" s="17"/>
      <c r="H308" s="17"/>
    </row>
    <row r="309" spans="1:8" ht="15" customHeight="1">
      <c r="A309" s="1" t="s">
        <v>668</v>
      </c>
      <c r="B309" s="49"/>
      <c r="G309" s="17"/>
      <c r="H309" s="17"/>
    </row>
    <row r="310" spans="1:8" ht="15" customHeight="1">
      <c r="A310" s="27"/>
      <c r="B310" s="78" t="s">
        <v>627</v>
      </c>
      <c r="C310" s="14" t="s">
        <v>748</v>
      </c>
      <c r="D310" s="154"/>
      <c r="E310" s="14" t="s">
        <v>749</v>
      </c>
      <c r="F310" s="154" t="str">
        <f>IF(wskakunin_sekkei2__sikaku="", "", wskakunin_sekkei2__sikaku)</f>
        <v/>
      </c>
      <c r="G310" s="17"/>
      <c r="H310" s="17"/>
    </row>
    <row r="311" spans="1:8" ht="15" customHeight="1">
      <c r="A311" s="32"/>
      <c r="B311" s="78" t="s">
        <v>628</v>
      </c>
      <c r="C311" s="14" t="s">
        <v>750</v>
      </c>
      <c r="D311" s="154"/>
      <c r="E311" s="14" t="s">
        <v>751</v>
      </c>
      <c r="F311" s="154" t="str">
        <f>IF(wskakunin_sekkei2_SIKAKU__label="","",wskakunin_sekkei2_SIKAKU__label)</f>
        <v/>
      </c>
      <c r="G311" s="17"/>
      <c r="H311" s="17"/>
    </row>
    <row r="312" spans="1:8" ht="15" customHeight="1">
      <c r="A312" s="32"/>
      <c r="B312" s="78" t="s">
        <v>623</v>
      </c>
      <c r="C312" s="14" t="s">
        <v>1398</v>
      </c>
      <c r="D312" s="154"/>
      <c r="E312" s="14" t="s">
        <v>752</v>
      </c>
      <c r="F312" s="154" t="str">
        <f>IF(wskakunin_sekkei2_TOUROKU_KIKAN__label="","",wskakunin_sekkei2_TOUROKU_KIKAN__label)</f>
        <v/>
      </c>
      <c r="G312" s="17"/>
      <c r="H312" s="17"/>
    </row>
    <row r="313" spans="1:8" ht="15" customHeight="1">
      <c r="A313" s="32"/>
      <c r="B313" s="78" t="s">
        <v>624</v>
      </c>
      <c r="C313" s="14" t="s">
        <v>753</v>
      </c>
      <c r="D313" s="240"/>
      <c r="E313" s="14" t="s">
        <v>754</v>
      </c>
      <c r="F313" s="154" t="str">
        <f>IF(wskakunin_sekkei2_KENTIKUSI_NO="","",wskakunin_sekkei2_KENTIKUSI_NO)</f>
        <v/>
      </c>
      <c r="G313" s="17"/>
      <c r="H313" s="17"/>
    </row>
    <row r="314" spans="1:8" ht="15" customHeight="1">
      <c r="A314" s="44"/>
      <c r="B314" s="78" t="s">
        <v>11</v>
      </c>
      <c r="C314" s="14" t="s">
        <v>755</v>
      </c>
      <c r="D314" s="154"/>
      <c r="E314" s="14" t="s">
        <v>756</v>
      </c>
      <c r="F314" s="154" t="str">
        <f>IF(wskakunin_sekkei2_NAME="", "", wskakunin_sekkei2_NAME)</f>
        <v/>
      </c>
      <c r="G314" s="17"/>
      <c r="H314" s="17"/>
    </row>
    <row r="315" spans="1:8" ht="15" customHeight="1">
      <c r="A315" s="44"/>
      <c r="B315" s="78" t="s">
        <v>629</v>
      </c>
      <c r="C315" s="14" t="s">
        <v>757</v>
      </c>
      <c r="D315" s="154"/>
      <c r="E315" s="14" t="s">
        <v>758</v>
      </c>
      <c r="F315" s="154" t="str">
        <f>IF(wskakunin_sekkei2_JIMU__sikaku="", "", wskakunin_sekkei2_JIMU__sikaku)</f>
        <v/>
      </c>
      <c r="G315" s="17"/>
      <c r="H315" s="17"/>
    </row>
    <row r="316" spans="1:8" ht="15" customHeight="1">
      <c r="A316" s="44"/>
      <c r="B316" s="78" t="s">
        <v>121</v>
      </c>
      <c r="C316" s="14" t="s">
        <v>759</v>
      </c>
      <c r="D316" s="154"/>
      <c r="E316" s="14" t="s">
        <v>1485</v>
      </c>
      <c r="F316" s="154" t="str">
        <f>IF(wskakunin_sekkei2_JIMU_SIKAKU__label="","",wskakunin_sekkei2_JIMU_SIKAKU__label)</f>
        <v/>
      </c>
      <c r="G316" s="17"/>
      <c r="H316" s="17"/>
    </row>
    <row r="317" spans="1:8" ht="15" customHeight="1">
      <c r="A317" s="44"/>
      <c r="B317" s="78" t="s">
        <v>630</v>
      </c>
      <c r="C317" s="14" t="s">
        <v>1399</v>
      </c>
      <c r="D317" s="154"/>
      <c r="E317" s="14" t="s">
        <v>760</v>
      </c>
      <c r="F317" s="154" t="str">
        <f>IF(wskakunin_sekkei2_JIMU_TOUROKU_KIKAN__label="","",wskakunin_sekkei2_JIMU_TOUROKU_KIKAN__label)</f>
        <v/>
      </c>
      <c r="G317" s="17"/>
      <c r="H317" s="17"/>
    </row>
    <row r="318" spans="1:8" ht="15" customHeight="1">
      <c r="A318" s="44"/>
      <c r="B318" s="78" t="s">
        <v>631</v>
      </c>
      <c r="C318" s="14" t="s">
        <v>761</v>
      </c>
      <c r="D318" s="240"/>
      <c r="E318" s="14" t="s">
        <v>762</v>
      </c>
      <c r="F318" s="154" t="str">
        <f>IF(wskakunin_sekkei2_JIMU_NO="","",wskakunin_sekkei2_JIMU_NO)</f>
        <v/>
      </c>
      <c r="G318" s="17"/>
      <c r="H318" s="17"/>
    </row>
    <row r="319" spans="1:8" ht="15" customHeight="1">
      <c r="A319" s="60"/>
      <c r="B319" s="78" t="s">
        <v>122</v>
      </c>
      <c r="C319" s="14" t="s">
        <v>763</v>
      </c>
      <c r="D319" s="154"/>
      <c r="E319" s="14" t="s">
        <v>764</v>
      </c>
      <c r="F319" s="154" t="str">
        <f>IF(wskakunin_sekkei2_JIMU_NAME="", "", wskakunin_sekkei2_JIMU_NAME)</f>
        <v/>
      </c>
      <c r="G319" s="17"/>
      <c r="H319" s="17"/>
    </row>
    <row r="320" spans="1:8" ht="15" customHeight="1">
      <c r="A320" s="44"/>
      <c r="B320" s="78" t="s">
        <v>647</v>
      </c>
      <c r="D320" s="34"/>
      <c r="E320" s="14" t="s">
        <v>765</v>
      </c>
      <c r="F320" s="154" t="str">
        <f>wskakunin_sekkei2_JIMU_NAME&amp;" "&amp;wskakunin_sekkei2_NAME</f>
        <v/>
      </c>
      <c r="G320" s="17"/>
      <c r="H320" s="17"/>
    </row>
    <row r="321" spans="1:8" ht="15" customHeight="1">
      <c r="A321" s="60"/>
      <c r="B321" s="78" t="s">
        <v>12</v>
      </c>
      <c r="C321" s="14" t="s">
        <v>766</v>
      </c>
      <c r="D321" s="240"/>
      <c r="E321" s="14" t="s">
        <v>767</v>
      </c>
      <c r="F321" s="154" t="str">
        <f>IF(wskakunin_sekkei2_ZIP="", "", wskakunin_sekkei2_ZIP)</f>
        <v/>
      </c>
      <c r="G321" s="17"/>
      <c r="H321" s="17" t="s">
        <v>665</v>
      </c>
    </row>
    <row r="322" spans="1:8" ht="15" customHeight="1">
      <c r="A322" s="60"/>
      <c r="B322" s="78" t="s">
        <v>17</v>
      </c>
      <c r="C322" s="14" t="s">
        <v>768</v>
      </c>
      <c r="D322" s="154"/>
      <c r="E322" s="14" t="s">
        <v>769</v>
      </c>
      <c r="F322" s="154" t="str">
        <f>IF(wskakunin_sekkei2__address="", "", wskakunin_sekkei2__address)</f>
        <v/>
      </c>
      <c r="G322" s="17"/>
      <c r="H322" s="17"/>
    </row>
    <row r="323" spans="1:8" ht="15" customHeight="1">
      <c r="A323" s="60"/>
      <c r="B323" s="78" t="s">
        <v>14</v>
      </c>
      <c r="C323" s="14" t="s">
        <v>770</v>
      </c>
      <c r="D323" s="240"/>
      <c r="E323" s="14" t="s">
        <v>771</v>
      </c>
      <c r="F323" s="154" t="str">
        <f>IF(wskakunin_sekkei2_TEL="", "", wskakunin_sekkei2_TEL)</f>
        <v/>
      </c>
      <c r="G323" s="17"/>
      <c r="H323" s="17"/>
    </row>
    <row r="324" spans="1:8" ht="15" customHeight="1">
      <c r="A324" s="60"/>
      <c r="B324" s="78" t="s">
        <v>666</v>
      </c>
      <c r="C324" s="14" t="s">
        <v>772</v>
      </c>
      <c r="D324" s="240"/>
      <c r="E324" s="14" t="s">
        <v>773</v>
      </c>
      <c r="F324" s="154" t="str">
        <f>IF(wskakunin_sekkei2_DOC="","",wskakunin_sekkei2_DOC)</f>
        <v/>
      </c>
      <c r="G324" s="17"/>
      <c r="H324" s="17"/>
    </row>
    <row r="325" spans="1:8" ht="15" customHeight="1">
      <c r="A325" s="60"/>
      <c r="B325" s="86"/>
      <c r="G325" s="17"/>
      <c r="H325" s="17"/>
    </row>
    <row r="326" spans="1:8" ht="15" customHeight="1">
      <c r="A326" s="1" t="s">
        <v>669</v>
      </c>
      <c r="B326" s="49"/>
      <c r="G326" s="17"/>
      <c r="H326" s="17"/>
    </row>
    <row r="327" spans="1:8" ht="15" customHeight="1">
      <c r="A327" s="27"/>
      <c r="B327" s="78" t="s">
        <v>627</v>
      </c>
      <c r="C327" s="14" t="s">
        <v>774</v>
      </c>
      <c r="D327" s="154"/>
      <c r="E327" s="14" t="s">
        <v>775</v>
      </c>
      <c r="F327" s="154" t="str">
        <f>IF(wskakunin_sekkei3__sikaku="", "", wskakunin_sekkei3__sikaku)</f>
        <v/>
      </c>
      <c r="G327" s="17"/>
      <c r="H327" s="17"/>
    </row>
    <row r="328" spans="1:8" ht="15" customHeight="1">
      <c r="A328" s="32"/>
      <c r="B328" s="78" t="s">
        <v>628</v>
      </c>
      <c r="C328" s="14" t="s">
        <v>776</v>
      </c>
      <c r="D328" s="154"/>
      <c r="E328" s="14" t="s">
        <v>777</v>
      </c>
      <c r="F328" s="154" t="str">
        <f>IF(wskakunin_sekkei3_SIKAKU__label="","",wskakunin_sekkei3_SIKAKU__label)</f>
        <v/>
      </c>
      <c r="G328" s="17"/>
      <c r="H328" s="17"/>
    </row>
    <row r="329" spans="1:8" ht="15" customHeight="1">
      <c r="A329" s="32"/>
      <c r="B329" s="78" t="s">
        <v>623</v>
      </c>
      <c r="C329" s="14" t="s">
        <v>1400</v>
      </c>
      <c r="D329" s="154"/>
      <c r="E329" s="14" t="s">
        <v>778</v>
      </c>
      <c r="F329" s="154" t="str">
        <f>IF(wskakunin_sekkei3_TOUROKU_KIKAN__label="","",wskakunin_sekkei3_TOUROKU_KIKAN__label)</f>
        <v/>
      </c>
      <c r="G329" s="17"/>
      <c r="H329" s="17"/>
    </row>
    <row r="330" spans="1:8" ht="15" customHeight="1">
      <c r="A330" s="32"/>
      <c r="B330" s="78" t="s">
        <v>624</v>
      </c>
      <c r="C330" s="14" t="s">
        <v>779</v>
      </c>
      <c r="D330" s="240"/>
      <c r="E330" s="14" t="s">
        <v>780</v>
      </c>
      <c r="F330" s="154" t="str">
        <f>IF(wskakunin_sekkei3_KENTIKUSI_NO="","",wskakunin_sekkei3_KENTIKUSI_NO)</f>
        <v/>
      </c>
      <c r="G330" s="17"/>
      <c r="H330" s="17"/>
    </row>
    <row r="331" spans="1:8" ht="15" customHeight="1">
      <c r="A331" s="44"/>
      <c r="B331" s="78" t="s">
        <v>11</v>
      </c>
      <c r="C331" s="14" t="s">
        <v>781</v>
      </c>
      <c r="D331" s="154"/>
      <c r="E331" s="14" t="s">
        <v>782</v>
      </c>
      <c r="F331" s="154" t="str">
        <f>IF(wskakunin_sekkei3_NAME="", "", wskakunin_sekkei3_NAME)</f>
        <v/>
      </c>
      <c r="G331" s="17"/>
      <c r="H331" s="17"/>
    </row>
    <row r="332" spans="1:8" ht="15" customHeight="1">
      <c r="A332" s="44"/>
      <c r="B332" s="78" t="s">
        <v>629</v>
      </c>
      <c r="C332" s="14" t="s">
        <v>783</v>
      </c>
      <c r="D332" s="154"/>
      <c r="E332" s="14" t="s">
        <v>784</v>
      </c>
      <c r="F332" s="154" t="str">
        <f>IF(wskakunin_sekkei3_JIMU__sikaku="", "", wskakunin_sekkei3_JIMU__sikaku)</f>
        <v/>
      </c>
      <c r="G332" s="17"/>
      <c r="H332" s="17"/>
    </row>
    <row r="333" spans="1:8" ht="15" customHeight="1">
      <c r="A333" s="44"/>
      <c r="B333" s="78" t="s">
        <v>121</v>
      </c>
      <c r="C333" s="14" t="s">
        <v>785</v>
      </c>
      <c r="D333" s="154"/>
      <c r="E333" s="14" t="s">
        <v>1486</v>
      </c>
      <c r="F333" s="154" t="str">
        <f>IF(wskakunin_sekkei3_JIMU_SIKAKU__label="","",wskakunin_sekkei3_JIMU_SIKAKU__label)</f>
        <v/>
      </c>
      <c r="G333" s="17"/>
      <c r="H333" s="17"/>
    </row>
    <row r="334" spans="1:8" ht="15" customHeight="1">
      <c r="A334" s="44"/>
      <c r="B334" s="78" t="s">
        <v>630</v>
      </c>
      <c r="C334" s="14" t="s">
        <v>1401</v>
      </c>
      <c r="D334" s="154"/>
      <c r="E334" s="14" t="s">
        <v>786</v>
      </c>
      <c r="F334" s="154" t="str">
        <f>IF(wskakunin_sekkei3_JIMU_TOUROKU_KIKAN__label="","",wskakunin_sekkei3_JIMU_TOUROKU_KIKAN__label)</f>
        <v/>
      </c>
      <c r="G334" s="17"/>
      <c r="H334" s="17"/>
    </row>
    <row r="335" spans="1:8" ht="15" customHeight="1">
      <c r="A335" s="44"/>
      <c r="B335" s="78" t="s">
        <v>631</v>
      </c>
      <c r="C335" s="14" t="s">
        <v>787</v>
      </c>
      <c r="D335" s="240"/>
      <c r="E335" s="14" t="s">
        <v>788</v>
      </c>
      <c r="F335" s="154" t="str">
        <f>IF(wskakunin_sekkei3_JIMU_NO="","",wskakunin_sekkei3_JIMU_NO)</f>
        <v/>
      </c>
      <c r="G335" s="17"/>
      <c r="H335" s="17"/>
    </row>
    <row r="336" spans="1:8" ht="15" customHeight="1">
      <c r="A336" s="60"/>
      <c r="B336" s="78" t="s">
        <v>122</v>
      </c>
      <c r="C336" s="14" t="s">
        <v>789</v>
      </c>
      <c r="D336" s="154"/>
      <c r="E336" s="14" t="s">
        <v>790</v>
      </c>
      <c r="F336" s="154" t="str">
        <f>IF(wskakunin_sekkei3_JIMU_NAME="", "", wskakunin_sekkei3_JIMU_NAME)</f>
        <v/>
      </c>
      <c r="G336" s="17"/>
      <c r="H336" s="17"/>
    </row>
    <row r="337" spans="1:8" ht="15" customHeight="1">
      <c r="A337" s="44"/>
      <c r="B337" s="78" t="s">
        <v>647</v>
      </c>
      <c r="D337" s="34"/>
      <c r="E337" s="14" t="s">
        <v>791</v>
      </c>
      <c r="F337" s="154" t="str">
        <f>wskakunin_sekkei3_JIMU_NAME&amp;" "&amp;wskakunin_sekkei3_NAME</f>
        <v/>
      </c>
      <c r="G337" s="17"/>
      <c r="H337" s="17"/>
    </row>
    <row r="338" spans="1:8" ht="15" customHeight="1">
      <c r="A338" s="60"/>
      <c r="B338" s="78" t="s">
        <v>12</v>
      </c>
      <c r="C338" s="14" t="s">
        <v>792</v>
      </c>
      <c r="D338" s="240"/>
      <c r="E338" s="14" t="s">
        <v>793</v>
      </c>
      <c r="F338" s="154" t="str">
        <f>IF(wskakunin_sekkei3_ZIP="", "", wskakunin_sekkei3_ZIP)</f>
        <v/>
      </c>
      <c r="G338" s="17"/>
      <c r="H338" s="17" t="s">
        <v>665</v>
      </c>
    </row>
    <row r="339" spans="1:8" ht="15" customHeight="1">
      <c r="A339" s="60"/>
      <c r="B339" s="78" t="s">
        <v>17</v>
      </c>
      <c r="C339" s="14" t="s">
        <v>794</v>
      </c>
      <c r="D339" s="154"/>
      <c r="E339" s="14" t="s">
        <v>795</v>
      </c>
      <c r="F339" s="154" t="str">
        <f>IF(wskakunin_sekkei3__address="", "", wskakunin_sekkei3__address)</f>
        <v/>
      </c>
      <c r="G339" s="17"/>
      <c r="H339" s="17"/>
    </row>
    <row r="340" spans="1:8" ht="15" customHeight="1">
      <c r="A340" s="60"/>
      <c r="B340" s="78" t="s">
        <v>14</v>
      </c>
      <c r="C340" s="14" t="s">
        <v>796</v>
      </c>
      <c r="D340" s="240"/>
      <c r="E340" s="14" t="s">
        <v>797</v>
      </c>
      <c r="F340" s="154" t="str">
        <f>IF(wskakunin_sekkei3_TEL="", "", wskakunin_sekkei3_TEL)</f>
        <v/>
      </c>
      <c r="G340" s="17"/>
      <c r="H340" s="17"/>
    </row>
    <row r="341" spans="1:8" ht="15" customHeight="1">
      <c r="A341" s="60"/>
      <c r="B341" s="78" t="s">
        <v>666</v>
      </c>
      <c r="C341" s="14" t="s">
        <v>798</v>
      </c>
      <c r="D341" s="240"/>
      <c r="E341" s="14" t="s">
        <v>799</v>
      </c>
      <c r="F341" s="154" t="str">
        <f>IF(wskakunin_sekkei3_DOC="","",wskakunin_sekkei3_DOC)</f>
        <v/>
      </c>
      <c r="G341" s="17"/>
      <c r="H341" s="17"/>
    </row>
    <row r="342" spans="1:8" ht="15" customHeight="1">
      <c r="A342" s="60"/>
      <c r="B342" s="86"/>
      <c r="G342" s="17"/>
      <c r="H342" s="17"/>
    </row>
    <row r="343" spans="1:8" ht="15" customHeight="1">
      <c r="A343" s="46" t="s">
        <v>670</v>
      </c>
      <c r="B343" s="49"/>
      <c r="G343" s="17"/>
      <c r="H343" s="17"/>
    </row>
    <row r="344" spans="1:8" ht="15" customHeight="1">
      <c r="A344" s="84"/>
      <c r="B344" s="78" t="s">
        <v>627</v>
      </c>
      <c r="C344" s="14" t="s">
        <v>800</v>
      </c>
      <c r="D344" s="154"/>
      <c r="E344" s="14" t="s">
        <v>801</v>
      </c>
      <c r="F344" s="154" t="str">
        <f>IF(wskakunin_sekkei4__sikaku="", "", wskakunin_sekkei4__sikaku)</f>
        <v/>
      </c>
      <c r="G344" s="17"/>
      <c r="H344" s="17"/>
    </row>
    <row r="345" spans="1:8" ht="15" customHeight="1">
      <c r="A345" s="84"/>
      <c r="B345" s="78" t="s">
        <v>628</v>
      </c>
      <c r="C345" s="14" t="s">
        <v>802</v>
      </c>
      <c r="D345" s="154"/>
      <c r="E345" s="14" t="s">
        <v>803</v>
      </c>
      <c r="F345" s="154" t="str">
        <f>IF(wskakunin_sekkei4_SIKAKU__label="","",wskakunin_sekkei4_SIKAKU__label)</f>
        <v/>
      </c>
      <c r="G345" s="17"/>
      <c r="H345" s="17"/>
    </row>
    <row r="346" spans="1:8" ht="15" customHeight="1">
      <c r="A346" s="84"/>
      <c r="B346" s="78" t="s">
        <v>623</v>
      </c>
      <c r="C346" s="14" t="s">
        <v>1402</v>
      </c>
      <c r="D346" s="154"/>
      <c r="E346" s="14" t="s">
        <v>804</v>
      </c>
      <c r="F346" s="154" t="str">
        <f>IF(wskakunin_sekkei4_TOUROKU_KIKAN__label="","",wskakunin_sekkei4_TOUROKU_KIKAN__label)</f>
        <v/>
      </c>
      <c r="G346" s="17"/>
      <c r="H346" s="17"/>
    </row>
    <row r="347" spans="1:8" ht="15" customHeight="1">
      <c r="A347" s="84"/>
      <c r="B347" s="78" t="s">
        <v>624</v>
      </c>
      <c r="C347" s="14" t="s">
        <v>805</v>
      </c>
      <c r="D347" s="240"/>
      <c r="E347" s="14" t="s">
        <v>806</v>
      </c>
      <c r="F347" s="154" t="str">
        <f>IF(wskakunin_sekkei4_KENTIKUSI_NO="","",wskakunin_sekkei4_KENTIKUSI_NO)</f>
        <v/>
      </c>
      <c r="G347" s="17"/>
      <c r="H347" s="17"/>
    </row>
    <row r="348" spans="1:8" ht="15" customHeight="1">
      <c r="A348" s="50"/>
      <c r="B348" s="78" t="s">
        <v>11</v>
      </c>
      <c r="C348" s="14" t="s">
        <v>807</v>
      </c>
      <c r="D348" s="154"/>
      <c r="E348" s="14" t="s">
        <v>808</v>
      </c>
      <c r="F348" s="154" t="str">
        <f>IF(wskakunin_sekkei4_NAME="", "", wskakunin_sekkei4_NAME)</f>
        <v/>
      </c>
      <c r="G348" s="17"/>
      <c r="H348" s="17"/>
    </row>
    <row r="349" spans="1:8" ht="15" customHeight="1">
      <c r="A349" s="50"/>
      <c r="B349" s="78" t="s">
        <v>629</v>
      </c>
      <c r="C349" s="14" t="s">
        <v>809</v>
      </c>
      <c r="D349" s="154"/>
      <c r="E349" s="14" t="s">
        <v>810</v>
      </c>
      <c r="F349" s="154" t="str">
        <f>IF(wskakunin_sekkei4_JIMU__sikaku="", "", wskakunin_sekkei4_JIMU__sikaku)</f>
        <v/>
      </c>
      <c r="G349" s="17"/>
      <c r="H349" s="17"/>
    </row>
    <row r="350" spans="1:8" ht="15" customHeight="1">
      <c r="A350" s="50"/>
      <c r="B350" s="78" t="s">
        <v>121</v>
      </c>
      <c r="C350" s="14" t="s">
        <v>811</v>
      </c>
      <c r="D350" s="154"/>
      <c r="E350" s="14" t="s">
        <v>1487</v>
      </c>
      <c r="F350" s="154" t="str">
        <f>IF(wskakunin_sekkei4_JIMU_SIKAKU__label="","",wskakunin_sekkei4_JIMU_SIKAKU__label)</f>
        <v/>
      </c>
      <c r="G350" s="17"/>
      <c r="H350" s="17"/>
    </row>
    <row r="351" spans="1:8" ht="15" customHeight="1">
      <c r="A351" s="50"/>
      <c r="B351" s="78" t="s">
        <v>630</v>
      </c>
      <c r="C351" s="14" t="s">
        <v>1403</v>
      </c>
      <c r="D351" s="154"/>
      <c r="E351" s="14" t="s">
        <v>812</v>
      </c>
      <c r="F351" s="154" t="str">
        <f>IF(wskakunin_sekkei4_JIMU_TOUROKU_KIKAN__label="","",wskakunin_sekkei4_JIMU_TOUROKU_KIKAN__label)</f>
        <v/>
      </c>
      <c r="G351" s="17"/>
      <c r="H351" s="17"/>
    </row>
    <row r="352" spans="1:8" ht="15" customHeight="1">
      <c r="A352" s="50"/>
      <c r="B352" s="78" t="s">
        <v>631</v>
      </c>
      <c r="C352" s="14" t="s">
        <v>813</v>
      </c>
      <c r="D352" s="240"/>
      <c r="E352" s="14" t="s">
        <v>814</v>
      </c>
      <c r="F352" s="154" t="str">
        <f>IF(wskakunin_sekkei4_JIMU_NO="","",wskakunin_sekkei4_JIMU_NO)</f>
        <v/>
      </c>
      <c r="G352" s="17"/>
      <c r="H352" s="17"/>
    </row>
    <row r="353" spans="1:8" ht="15" customHeight="1">
      <c r="A353" s="50"/>
      <c r="B353" s="78" t="s">
        <v>122</v>
      </c>
      <c r="C353" s="14" t="s">
        <v>815</v>
      </c>
      <c r="D353" s="154"/>
      <c r="E353" s="14" t="s">
        <v>816</v>
      </c>
      <c r="F353" s="154" t="str">
        <f>IF(wskakunin_sekkei4_JIMU_NAME="", "", wskakunin_sekkei4_JIMU_NAME)</f>
        <v/>
      </c>
      <c r="G353" s="17"/>
      <c r="H353" s="17"/>
    </row>
    <row r="354" spans="1:8" ht="15" customHeight="1">
      <c r="A354" s="50"/>
      <c r="B354" s="78" t="s">
        <v>647</v>
      </c>
      <c r="D354" s="34"/>
      <c r="E354" s="14" t="s">
        <v>817</v>
      </c>
      <c r="F354" s="154" t="str">
        <f>wskakunin_sekkei4_JIMU_NAME&amp;" "&amp;wskakunin_sekkei4_NAME</f>
        <v/>
      </c>
      <c r="G354" s="17"/>
      <c r="H354" s="17"/>
    </row>
    <row r="355" spans="1:8" ht="15" customHeight="1">
      <c r="A355" s="50"/>
      <c r="B355" s="78" t="s">
        <v>12</v>
      </c>
      <c r="C355" s="14" t="s">
        <v>818</v>
      </c>
      <c r="D355" s="240"/>
      <c r="E355" s="14" t="s">
        <v>819</v>
      </c>
      <c r="F355" s="154" t="str">
        <f>IF(wskakunin_sekkei4_ZIP="", "", wskakunin_sekkei4_ZIP)</f>
        <v/>
      </c>
      <c r="G355" s="17"/>
      <c r="H355" s="17" t="s">
        <v>665</v>
      </c>
    </row>
    <row r="356" spans="1:8" ht="15" customHeight="1">
      <c r="A356" s="50"/>
      <c r="B356" s="78" t="s">
        <v>17</v>
      </c>
      <c r="C356" s="14" t="s">
        <v>820</v>
      </c>
      <c r="D356" s="154"/>
      <c r="E356" s="14" t="s">
        <v>821</v>
      </c>
      <c r="F356" s="154" t="str">
        <f>IF(wskakunin_sekkei4__address="", "", wskakunin_sekkei4__address)</f>
        <v/>
      </c>
      <c r="G356" s="17"/>
      <c r="H356" s="17"/>
    </row>
    <row r="357" spans="1:8" ht="15" customHeight="1">
      <c r="A357" s="50"/>
      <c r="B357" s="78" t="s">
        <v>14</v>
      </c>
      <c r="C357" s="14" t="s">
        <v>822</v>
      </c>
      <c r="D357" s="240"/>
      <c r="E357" s="14" t="s">
        <v>823</v>
      </c>
      <c r="F357" s="154" t="str">
        <f>IF(wskakunin_sekkei4_TEL="", "", wskakunin_sekkei4_TEL)</f>
        <v/>
      </c>
      <c r="G357" s="17"/>
      <c r="H357" s="17"/>
    </row>
    <row r="358" spans="1:8" ht="15" customHeight="1">
      <c r="A358" s="50"/>
      <c r="B358" s="78" t="s">
        <v>666</v>
      </c>
      <c r="C358" s="14" t="s">
        <v>824</v>
      </c>
      <c r="D358" s="240"/>
      <c r="E358" s="14" t="s">
        <v>825</v>
      </c>
      <c r="F358" s="154" t="str">
        <f>IF(wskakunin_sekkei4_DOC="","",wskakunin_sekkei4_DOC)</f>
        <v/>
      </c>
      <c r="G358" s="17"/>
      <c r="H358" s="17"/>
    </row>
    <row r="359" spans="1:8" ht="15" customHeight="1">
      <c r="A359" s="51"/>
      <c r="B359" s="86"/>
      <c r="G359" s="17"/>
      <c r="H359" s="17"/>
    </row>
    <row r="360" spans="1:8" ht="15" customHeight="1">
      <c r="A360" s="1" t="s">
        <v>1767</v>
      </c>
      <c r="B360" s="49"/>
      <c r="G360" s="17"/>
      <c r="H360" s="17"/>
    </row>
    <row r="361" spans="1:8" ht="15" customHeight="1">
      <c r="A361" s="27"/>
      <c r="B361" s="78" t="s">
        <v>627</v>
      </c>
      <c r="C361" s="14" t="s">
        <v>1768</v>
      </c>
      <c r="D361" s="154"/>
      <c r="E361" s="14" t="s">
        <v>1769</v>
      </c>
      <c r="F361" s="154" t="str">
        <f>IF(wskakunin_sekkei5__sikaku="", "", wskakunin_sekkei5__sikaku)</f>
        <v/>
      </c>
      <c r="H361" s="17"/>
    </row>
    <row r="362" spans="1:8" ht="15" customHeight="1">
      <c r="A362" s="32"/>
      <c r="B362" s="78" t="s">
        <v>628</v>
      </c>
      <c r="C362" s="14" t="s">
        <v>1770</v>
      </c>
      <c r="D362" s="154"/>
      <c r="E362" s="14" t="s">
        <v>1771</v>
      </c>
      <c r="F362" s="154" t="str">
        <f>IF(wskakunin_sekkei5_SIKAKU__label="","",wskakunin_sekkei5_SIKAKU__label)</f>
        <v/>
      </c>
      <c r="H362" s="17"/>
    </row>
    <row r="363" spans="1:8" ht="15" customHeight="1">
      <c r="A363" s="32"/>
      <c r="B363" s="78" t="s">
        <v>623</v>
      </c>
      <c r="C363" s="14" t="s">
        <v>1772</v>
      </c>
      <c r="D363" s="154"/>
      <c r="E363" s="14" t="s">
        <v>1773</v>
      </c>
      <c r="F363" s="154" t="str">
        <f>IF(wskakunin_sekkei5_TOUROKU_KIKAN__label="","",wskakunin_sekkei5_TOUROKU_KIKAN__label)</f>
        <v/>
      </c>
      <c r="H363" s="17"/>
    </row>
    <row r="364" spans="1:8" ht="15" customHeight="1">
      <c r="A364" s="32"/>
      <c r="B364" s="78" t="s">
        <v>624</v>
      </c>
      <c r="C364" s="14" t="s">
        <v>1774</v>
      </c>
      <c r="D364" s="240"/>
      <c r="E364" s="14" t="s">
        <v>1775</v>
      </c>
      <c r="F364" s="154" t="str">
        <f>IF(wskakunin_sekkei5_KENTIKUSI_NO="","",wskakunin_sekkei5_KENTIKUSI_NO)</f>
        <v/>
      </c>
      <c r="H364" s="17"/>
    </row>
    <row r="365" spans="1:8" ht="15" customHeight="1">
      <c r="A365" s="44"/>
      <c r="B365" s="78" t="s">
        <v>11</v>
      </c>
      <c r="C365" s="14" t="s">
        <v>1776</v>
      </c>
      <c r="D365" s="154"/>
      <c r="E365" s="14" t="s">
        <v>1777</v>
      </c>
      <c r="F365" s="154" t="str">
        <f>IF(wskakunin_sekkei5_NAME="", "", wskakunin_sekkei5_NAME)</f>
        <v/>
      </c>
      <c r="H365" s="17"/>
    </row>
    <row r="366" spans="1:8" ht="15" customHeight="1">
      <c r="A366" s="44"/>
      <c r="B366" s="78" t="s">
        <v>629</v>
      </c>
      <c r="C366" s="14" t="s">
        <v>1778</v>
      </c>
      <c r="D366" s="154"/>
      <c r="E366" s="14" t="s">
        <v>1779</v>
      </c>
      <c r="F366" s="154" t="str">
        <f>IF(wskakunin_sekkei5_JIMU__sikaku="", "", wskakunin_sekkei5_JIMU__sikaku)</f>
        <v/>
      </c>
      <c r="H366" s="17"/>
    </row>
    <row r="367" spans="1:8" ht="15" customHeight="1">
      <c r="A367" s="44"/>
      <c r="B367" s="78" t="s">
        <v>121</v>
      </c>
      <c r="C367" s="14" t="s">
        <v>1780</v>
      </c>
      <c r="D367" s="154"/>
      <c r="E367" s="14" t="s">
        <v>1781</v>
      </c>
      <c r="F367" s="154" t="str">
        <f>IF(wskakunin_sekkei5_JIMU_SIKAKU__label="","",wskakunin_sekkei5_JIMU_SIKAKU__label)</f>
        <v/>
      </c>
      <c r="H367" s="17"/>
    </row>
    <row r="368" spans="1:8" ht="15" customHeight="1">
      <c r="A368" s="44"/>
      <c r="B368" s="78" t="s">
        <v>630</v>
      </c>
      <c r="C368" s="14" t="s">
        <v>1782</v>
      </c>
      <c r="D368" s="154"/>
      <c r="E368" s="14" t="s">
        <v>1783</v>
      </c>
      <c r="F368" s="154" t="str">
        <f>IF(wskakunin_sekkei5_JIMU_TOUROKU_KIKAN__label="","",wskakunin_sekkei5_JIMU_TOUROKU_KIKAN__label)</f>
        <v/>
      </c>
      <c r="H368" s="17"/>
    </row>
    <row r="369" spans="1:8" ht="15" customHeight="1">
      <c r="A369" s="44"/>
      <c r="B369" s="78" t="s">
        <v>631</v>
      </c>
      <c r="C369" s="14" t="s">
        <v>1784</v>
      </c>
      <c r="D369" s="240"/>
      <c r="E369" s="14" t="s">
        <v>1785</v>
      </c>
      <c r="F369" s="154" t="str">
        <f>IF(wskakunin_sekkei5_JIMU_NO="","",wskakunin_sekkei5_JIMU_NO)</f>
        <v/>
      </c>
      <c r="H369" s="17"/>
    </row>
    <row r="370" spans="1:8" ht="15" customHeight="1">
      <c r="A370" s="60"/>
      <c r="B370" s="78" t="s">
        <v>122</v>
      </c>
      <c r="C370" s="14" t="s">
        <v>1786</v>
      </c>
      <c r="D370" s="154"/>
      <c r="E370" s="14" t="s">
        <v>1787</v>
      </c>
      <c r="F370" s="154" t="str">
        <f>IF(wskakunin_sekkei5_JIMU_NAME="", "", wskakunin_sekkei5_JIMU_NAME)</f>
        <v/>
      </c>
      <c r="H370" s="17"/>
    </row>
    <row r="371" spans="1:8" ht="15" customHeight="1">
      <c r="A371" s="44"/>
      <c r="B371" s="78" t="s">
        <v>647</v>
      </c>
      <c r="D371" s="34"/>
      <c r="E371" s="14" t="s">
        <v>1788</v>
      </c>
      <c r="F371" s="154" t="str">
        <f>wskakunin_sekkei5_JIMU_NAME&amp;" "&amp;wskakunin_sekkei5_NAME</f>
        <v/>
      </c>
      <c r="H371" s="17"/>
    </row>
    <row r="372" spans="1:8" ht="15" customHeight="1">
      <c r="A372" s="60"/>
      <c r="B372" s="78" t="s">
        <v>12</v>
      </c>
      <c r="C372" s="14" t="s">
        <v>1789</v>
      </c>
      <c r="D372" s="240"/>
      <c r="E372" s="14" t="s">
        <v>1790</v>
      </c>
      <c r="F372" s="154" t="str">
        <f>IF(wskakunin_sekkei5_ZIP="", "", wskakunin_sekkei5_ZIP)</f>
        <v/>
      </c>
      <c r="H372" s="17" t="s">
        <v>665</v>
      </c>
    </row>
    <row r="373" spans="1:8" ht="15" customHeight="1">
      <c r="A373" s="60"/>
      <c r="B373" s="78" t="s">
        <v>17</v>
      </c>
      <c r="C373" s="14" t="s">
        <v>1791</v>
      </c>
      <c r="D373" s="154"/>
      <c r="E373" s="14" t="s">
        <v>1792</v>
      </c>
      <c r="F373" s="154" t="str">
        <f>IF(wskakunin_sekkei5__address="", "", wskakunin_sekkei5__address)</f>
        <v/>
      </c>
      <c r="H373" s="17"/>
    </row>
    <row r="374" spans="1:8" ht="15" customHeight="1">
      <c r="A374" s="60"/>
      <c r="B374" s="78" t="s">
        <v>14</v>
      </c>
      <c r="C374" s="14" t="s">
        <v>1793</v>
      </c>
      <c r="D374" s="240"/>
      <c r="E374" s="14" t="s">
        <v>1794</v>
      </c>
      <c r="F374" s="154" t="str">
        <f>IF(wskakunin_sekkei5_TEL="", "", wskakunin_sekkei5_TEL)</f>
        <v/>
      </c>
      <c r="H374" s="17"/>
    </row>
    <row r="375" spans="1:8" ht="15" customHeight="1">
      <c r="A375" s="60"/>
      <c r="B375" s="78" t="s">
        <v>666</v>
      </c>
      <c r="C375" s="14" t="s">
        <v>1795</v>
      </c>
      <c r="D375" s="240"/>
      <c r="E375" s="14" t="s">
        <v>1796</v>
      </c>
      <c r="F375" s="154" t="str">
        <f>IF(wskakunin_sekkei5_DOC="","",wskakunin_sekkei5_DOC)</f>
        <v/>
      </c>
      <c r="H375" s="17"/>
    </row>
    <row r="376" spans="1:8" ht="15" customHeight="1">
      <c r="A376" s="60"/>
      <c r="B376" s="86"/>
      <c r="H376" s="17"/>
    </row>
    <row r="377" spans="1:8" ht="15" customHeight="1">
      <c r="A377" s="1" t="s">
        <v>1972</v>
      </c>
      <c r="B377" s="49"/>
      <c r="H377" s="17"/>
    </row>
    <row r="378" spans="1:8" ht="15" customHeight="1">
      <c r="A378" s="27"/>
      <c r="B378" s="78" t="s">
        <v>627</v>
      </c>
      <c r="C378" s="14" t="s">
        <v>1797</v>
      </c>
      <c r="D378" s="154"/>
      <c r="E378" s="14" t="s">
        <v>1798</v>
      </c>
      <c r="F378" s="154" t="str">
        <f>IF(wskakunin_sekkei6__sikaku="", "", wskakunin_sekkei6__sikaku)</f>
        <v/>
      </c>
      <c r="H378" s="17"/>
    </row>
    <row r="379" spans="1:8" ht="15" customHeight="1">
      <c r="A379" s="32"/>
      <c r="B379" s="78" t="s">
        <v>628</v>
      </c>
      <c r="C379" s="14" t="s">
        <v>1799</v>
      </c>
      <c r="D379" s="154"/>
      <c r="E379" s="14" t="s">
        <v>1800</v>
      </c>
      <c r="F379" s="154" t="str">
        <f>IF(wskakunin_sekkei6_SIKAKU__label="","",wskakunin_sekkei6_SIKAKU__label)</f>
        <v/>
      </c>
      <c r="H379" s="17"/>
    </row>
    <row r="380" spans="1:8" ht="15" customHeight="1">
      <c r="A380" s="32"/>
      <c r="B380" s="78" t="s">
        <v>623</v>
      </c>
      <c r="C380" s="14" t="s">
        <v>1801</v>
      </c>
      <c r="D380" s="154"/>
      <c r="E380" s="14" t="s">
        <v>1802</v>
      </c>
      <c r="F380" s="154" t="str">
        <f>IF(wskakunin_sekkei6_TOUROKU_KIKAN__label="","",wskakunin_sekkei6_TOUROKU_KIKAN__label)</f>
        <v/>
      </c>
      <c r="H380" s="17"/>
    </row>
    <row r="381" spans="1:8" ht="15" customHeight="1">
      <c r="A381" s="32"/>
      <c r="B381" s="78" t="s">
        <v>624</v>
      </c>
      <c r="C381" s="14" t="s">
        <v>1803</v>
      </c>
      <c r="D381" s="240"/>
      <c r="E381" s="14" t="s">
        <v>1804</v>
      </c>
      <c r="F381" s="154" t="str">
        <f>IF(wskakunin_sekkei6_KENTIKUSI_NO="","",wskakunin_sekkei6_KENTIKUSI_NO)</f>
        <v/>
      </c>
      <c r="H381" s="17"/>
    </row>
    <row r="382" spans="1:8" ht="15" customHeight="1">
      <c r="A382" s="44"/>
      <c r="B382" s="78" t="s">
        <v>11</v>
      </c>
      <c r="C382" s="14" t="s">
        <v>1805</v>
      </c>
      <c r="D382" s="154"/>
      <c r="E382" s="14" t="s">
        <v>1806</v>
      </c>
      <c r="F382" s="154" t="str">
        <f>IF(wskakunin_sekkei6_NAME="", "", wskakunin_sekkei6_NAME)</f>
        <v/>
      </c>
      <c r="H382" s="17"/>
    </row>
    <row r="383" spans="1:8" ht="15" customHeight="1">
      <c r="A383" s="44"/>
      <c r="B383" s="78" t="s">
        <v>629</v>
      </c>
      <c r="C383" s="14" t="s">
        <v>1807</v>
      </c>
      <c r="D383" s="154"/>
      <c r="E383" s="14" t="s">
        <v>1808</v>
      </c>
      <c r="F383" s="154" t="str">
        <f>IF(wskakunin_sekkei6_JIMU__sikaku="", "", wskakunin_sekkei6_JIMU__sikaku)</f>
        <v/>
      </c>
      <c r="H383" s="17"/>
    </row>
    <row r="384" spans="1:8" ht="15" customHeight="1">
      <c r="A384" s="44"/>
      <c r="B384" s="78" t="s">
        <v>121</v>
      </c>
      <c r="C384" s="14" t="s">
        <v>1809</v>
      </c>
      <c r="D384" s="154"/>
      <c r="E384" s="14" t="s">
        <v>1810</v>
      </c>
      <c r="F384" s="154" t="str">
        <f>IF(wskakunin_sekkei6_JIMU_SIKAKU__label="","",wskakunin_sekkei6_JIMU_SIKAKU__label)</f>
        <v/>
      </c>
      <c r="H384" s="17"/>
    </row>
    <row r="385" spans="1:8" ht="15" customHeight="1">
      <c r="A385" s="44"/>
      <c r="B385" s="78" t="s">
        <v>630</v>
      </c>
      <c r="C385" s="14" t="s">
        <v>1811</v>
      </c>
      <c r="D385" s="154"/>
      <c r="E385" s="14" t="s">
        <v>1812</v>
      </c>
      <c r="F385" s="154" t="str">
        <f>IF(wskakunin_sekkei6_JIMU_TOUROKU_KIKAN__label="","",wskakunin_sekkei6_JIMU_TOUROKU_KIKAN__label)</f>
        <v/>
      </c>
      <c r="H385" s="17"/>
    </row>
    <row r="386" spans="1:8" ht="15" customHeight="1">
      <c r="A386" s="44"/>
      <c r="B386" s="78" t="s">
        <v>631</v>
      </c>
      <c r="C386" s="14" t="s">
        <v>1813</v>
      </c>
      <c r="D386" s="240"/>
      <c r="E386" s="14" t="s">
        <v>1814</v>
      </c>
      <c r="F386" s="154" t="str">
        <f>IF(wskakunin_sekkei6_JIMU_NO="","",wskakunin_sekkei6_JIMU_NO)</f>
        <v/>
      </c>
      <c r="H386" s="17"/>
    </row>
    <row r="387" spans="1:8" ht="15" customHeight="1">
      <c r="A387" s="60"/>
      <c r="B387" s="78" t="s">
        <v>122</v>
      </c>
      <c r="C387" s="14" t="s">
        <v>1815</v>
      </c>
      <c r="D387" s="154"/>
      <c r="E387" s="14" t="s">
        <v>1816</v>
      </c>
      <c r="F387" s="154" t="str">
        <f>IF(wskakunin_sekkei6_JIMU_NAME="", "", wskakunin_sekkei6_JIMU_NAME)</f>
        <v/>
      </c>
      <c r="H387" s="17"/>
    </row>
    <row r="388" spans="1:8" ht="15" customHeight="1">
      <c r="A388" s="44"/>
      <c r="B388" s="78" t="s">
        <v>647</v>
      </c>
      <c r="D388" s="34"/>
      <c r="E388" s="14" t="s">
        <v>1817</v>
      </c>
      <c r="F388" s="154" t="str">
        <f>wskakunin_sekkei6_JIMU_NAME&amp;" "&amp;wskakunin_sekkei6_NAME</f>
        <v/>
      </c>
      <c r="H388" s="17"/>
    </row>
    <row r="389" spans="1:8" ht="15" customHeight="1">
      <c r="A389" s="60"/>
      <c r="B389" s="78" t="s">
        <v>12</v>
      </c>
      <c r="C389" s="14" t="s">
        <v>1818</v>
      </c>
      <c r="D389" s="240"/>
      <c r="E389" s="14" t="s">
        <v>1819</v>
      </c>
      <c r="F389" s="154" t="str">
        <f>IF(wskakunin_sekkei6_ZIP="", "", wskakunin_sekkei6_ZIP)</f>
        <v/>
      </c>
      <c r="H389" s="17" t="s">
        <v>665</v>
      </c>
    </row>
    <row r="390" spans="1:8" ht="15" customHeight="1">
      <c r="A390" s="60"/>
      <c r="B390" s="78" t="s">
        <v>17</v>
      </c>
      <c r="C390" s="14" t="s">
        <v>1820</v>
      </c>
      <c r="D390" s="154"/>
      <c r="E390" s="14" t="s">
        <v>1821</v>
      </c>
      <c r="F390" s="154" t="str">
        <f>IF(wskakunin_sekkei6__address="", "", wskakunin_sekkei6__address)</f>
        <v/>
      </c>
      <c r="H390" s="17"/>
    </row>
    <row r="391" spans="1:8" ht="15" customHeight="1">
      <c r="A391" s="60"/>
      <c r="B391" s="78" t="s">
        <v>14</v>
      </c>
      <c r="C391" s="14" t="s">
        <v>1822</v>
      </c>
      <c r="D391" s="240"/>
      <c r="E391" s="14" t="s">
        <v>1823</v>
      </c>
      <c r="F391" s="154" t="str">
        <f>IF(wskakunin_sekkei6_TEL="", "", wskakunin_sekkei6_TEL)</f>
        <v/>
      </c>
      <c r="H391" s="17"/>
    </row>
    <row r="392" spans="1:8" ht="15" customHeight="1">
      <c r="A392" s="60"/>
      <c r="B392" s="78" t="s">
        <v>666</v>
      </c>
      <c r="C392" s="14" t="s">
        <v>1824</v>
      </c>
      <c r="D392" s="240"/>
      <c r="E392" s="14" t="s">
        <v>1825</v>
      </c>
      <c r="F392" s="154" t="str">
        <f>IF(wskakunin_sekkei6_DOC="","",wskakunin_sekkei6_DOC)</f>
        <v/>
      </c>
      <c r="H392" s="17"/>
    </row>
    <row r="393" spans="1:8" ht="15" customHeight="1">
      <c r="A393" s="60"/>
      <c r="B393" s="86"/>
      <c r="H393" s="17"/>
    </row>
    <row r="394" spans="1:8" ht="15" customHeight="1">
      <c r="A394" s="1" t="s">
        <v>1973</v>
      </c>
      <c r="B394" s="49"/>
      <c r="H394" s="17"/>
    </row>
    <row r="395" spans="1:8" ht="15" customHeight="1">
      <c r="A395" s="27"/>
      <c r="B395" s="78" t="s">
        <v>627</v>
      </c>
      <c r="C395" s="14" t="s">
        <v>1826</v>
      </c>
      <c r="D395" s="154"/>
      <c r="E395" s="14" t="s">
        <v>1827</v>
      </c>
      <c r="F395" s="154" t="str">
        <f>IF(wskakunin_sekkei7__sikaku="", "", wskakunin_sekkei7__sikaku)</f>
        <v/>
      </c>
      <c r="H395" s="17"/>
    </row>
    <row r="396" spans="1:8" ht="15" customHeight="1">
      <c r="A396" s="32"/>
      <c r="B396" s="78" t="s">
        <v>628</v>
      </c>
      <c r="C396" s="14" t="s">
        <v>1828</v>
      </c>
      <c r="D396" s="154"/>
      <c r="E396" s="14" t="s">
        <v>1829</v>
      </c>
      <c r="F396" s="154" t="str">
        <f>IF(wskakunin_sekkei7_SIKAKU__label="","",wskakunin_sekkei7_SIKAKU__label)</f>
        <v/>
      </c>
      <c r="H396" s="17"/>
    </row>
    <row r="397" spans="1:8" ht="15" customHeight="1">
      <c r="A397" s="32"/>
      <c r="B397" s="78" t="s">
        <v>623</v>
      </c>
      <c r="C397" s="14" t="s">
        <v>1830</v>
      </c>
      <c r="D397" s="154"/>
      <c r="E397" s="14" t="s">
        <v>1831</v>
      </c>
      <c r="F397" s="154" t="str">
        <f>IF(wskakunin_sekkei7_TOUROKU_KIKAN__label="","",wskakunin_sekkei7_TOUROKU_KIKAN__label)</f>
        <v/>
      </c>
      <c r="H397" s="17"/>
    </row>
    <row r="398" spans="1:8" ht="15" customHeight="1">
      <c r="A398" s="32"/>
      <c r="B398" s="78" t="s">
        <v>624</v>
      </c>
      <c r="C398" s="14" t="s">
        <v>1832</v>
      </c>
      <c r="D398" s="240"/>
      <c r="E398" s="14" t="s">
        <v>1833</v>
      </c>
      <c r="F398" s="154" t="str">
        <f>IF(wskakunin_sekkei7_KENTIKUSI_NO="","",wskakunin_sekkei7_KENTIKUSI_NO)</f>
        <v/>
      </c>
      <c r="H398" s="17"/>
    </row>
    <row r="399" spans="1:8" ht="15" customHeight="1">
      <c r="A399" s="44"/>
      <c r="B399" s="78" t="s">
        <v>11</v>
      </c>
      <c r="C399" s="14" t="s">
        <v>1834</v>
      </c>
      <c r="D399" s="154"/>
      <c r="E399" s="14" t="s">
        <v>1835</v>
      </c>
      <c r="F399" s="154" t="str">
        <f>IF(wskakunin_sekkei7_NAME="", "", wskakunin_sekkei7_NAME)</f>
        <v/>
      </c>
      <c r="H399" s="17"/>
    </row>
    <row r="400" spans="1:8" ht="15" customHeight="1">
      <c r="A400" s="44"/>
      <c r="B400" s="78" t="s">
        <v>629</v>
      </c>
      <c r="C400" s="14" t="s">
        <v>1836</v>
      </c>
      <c r="D400" s="154"/>
      <c r="E400" s="14" t="s">
        <v>1837</v>
      </c>
      <c r="F400" s="154" t="str">
        <f>IF(wskakunin_sekkei7_JIMU__sikaku="", "", wskakunin_sekkei7_JIMU__sikaku)</f>
        <v/>
      </c>
      <c r="H400" s="17"/>
    </row>
    <row r="401" spans="1:8" ht="15" customHeight="1">
      <c r="A401" s="44"/>
      <c r="B401" s="78" t="s">
        <v>121</v>
      </c>
      <c r="C401" s="14" t="s">
        <v>1838</v>
      </c>
      <c r="D401" s="154"/>
      <c r="E401" s="14" t="s">
        <v>1839</v>
      </c>
      <c r="F401" s="154" t="str">
        <f>IF(wskakunin_sekkei7_JIMU_SIKAKU__label="","",wskakunin_sekkei7_JIMU_SIKAKU__label)</f>
        <v/>
      </c>
      <c r="H401" s="17"/>
    </row>
    <row r="402" spans="1:8" ht="15" customHeight="1">
      <c r="A402" s="44"/>
      <c r="B402" s="78" t="s">
        <v>630</v>
      </c>
      <c r="C402" s="14" t="s">
        <v>1840</v>
      </c>
      <c r="D402" s="154"/>
      <c r="E402" s="14" t="s">
        <v>1841</v>
      </c>
      <c r="F402" s="154" t="str">
        <f>IF(wskakunin_sekkei7_JIMU_TOUROKU_KIKAN__label="","",wskakunin_sekkei7_JIMU_TOUROKU_KIKAN__label)</f>
        <v/>
      </c>
      <c r="H402" s="17"/>
    </row>
    <row r="403" spans="1:8" ht="15" customHeight="1">
      <c r="A403" s="44"/>
      <c r="B403" s="78" t="s">
        <v>631</v>
      </c>
      <c r="C403" s="14" t="s">
        <v>1842</v>
      </c>
      <c r="D403" s="240"/>
      <c r="E403" s="14" t="s">
        <v>1843</v>
      </c>
      <c r="F403" s="154" t="str">
        <f>IF(wskakunin_sekkei7_JIMU_NO="","",wskakunin_sekkei7_JIMU_NO)</f>
        <v/>
      </c>
      <c r="H403" s="17"/>
    </row>
    <row r="404" spans="1:8" ht="15" customHeight="1">
      <c r="A404" s="60"/>
      <c r="B404" s="78" t="s">
        <v>122</v>
      </c>
      <c r="C404" s="14" t="s">
        <v>1844</v>
      </c>
      <c r="D404" s="154"/>
      <c r="E404" s="14" t="s">
        <v>1845</v>
      </c>
      <c r="F404" s="154" t="str">
        <f>IF(wskakunin_sekkei7_JIMU_NAME="", "", wskakunin_sekkei7_JIMU_NAME)</f>
        <v/>
      </c>
      <c r="H404" s="17"/>
    </row>
    <row r="405" spans="1:8" ht="15" customHeight="1">
      <c r="A405" s="44"/>
      <c r="B405" s="78" t="s">
        <v>647</v>
      </c>
      <c r="D405" s="34"/>
      <c r="E405" s="14" t="s">
        <v>1846</v>
      </c>
      <c r="F405" s="154" t="str">
        <f>wskakunin_sekkei7_JIMU_NAME&amp;" "&amp;wskakunin_sekkei7_NAME</f>
        <v/>
      </c>
      <c r="H405" s="17"/>
    </row>
    <row r="406" spans="1:8" ht="15" customHeight="1">
      <c r="A406" s="60"/>
      <c r="B406" s="78" t="s">
        <v>12</v>
      </c>
      <c r="C406" s="14" t="s">
        <v>1847</v>
      </c>
      <c r="D406" s="240"/>
      <c r="E406" s="14" t="s">
        <v>1848</v>
      </c>
      <c r="F406" s="154" t="str">
        <f>IF(wskakunin_sekkei7_ZIP="", "", wskakunin_sekkei7_ZIP)</f>
        <v/>
      </c>
      <c r="H406" s="17" t="s">
        <v>665</v>
      </c>
    </row>
    <row r="407" spans="1:8" ht="15" customHeight="1">
      <c r="A407" s="60"/>
      <c r="B407" s="78" t="s">
        <v>17</v>
      </c>
      <c r="C407" s="14" t="s">
        <v>1849</v>
      </c>
      <c r="D407" s="154"/>
      <c r="E407" s="14" t="s">
        <v>1850</v>
      </c>
      <c r="F407" s="154" t="str">
        <f>IF(wskakunin_sekkei7__address="", "", wskakunin_sekkei7__address)</f>
        <v/>
      </c>
      <c r="H407" s="17"/>
    </row>
    <row r="408" spans="1:8" ht="15" customHeight="1">
      <c r="A408" s="60"/>
      <c r="B408" s="78" t="s">
        <v>14</v>
      </c>
      <c r="C408" s="14" t="s">
        <v>1851</v>
      </c>
      <c r="D408" s="240"/>
      <c r="E408" s="14" t="s">
        <v>1852</v>
      </c>
      <c r="F408" s="154" t="str">
        <f>IF(wskakunin_sekkei7_TEL="", "", wskakunin_sekkei7_TEL)</f>
        <v/>
      </c>
      <c r="H408" s="17"/>
    </row>
    <row r="409" spans="1:8" ht="15" customHeight="1">
      <c r="A409" s="60"/>
      <c r="B409" s="78" t="s">
        <v>666</v>
      </c>
      <c r="C409" s="14" t="s">
        <v>1853</v>
      </c>
      <c r="D409" s="240"/>
      <c r="E409" s="14" t="s">
        <v>1854</v>
      </c>
      <c r="F409" s="154" t="str">
        <f>IF(wskakunin_sekkei7_DOC="","",wskakunin_sekkei7_DOC)</f>
        <v/>
      </c>
      <c r="H409" s="17"/>
    </row>
    <row r="410" spans="1:8" ht="15" customHeight="1">
      <c r="A410" s="60"/>
      <c r="B410" s="86"/>
      <c r="H410" s="17"/>
    </row>
    <row r="411" spans="1:8" ht="15" customHeight="1">
      <c r="A411" s="1" t="s">
        <v>1974</v>
      </c>
      <c r="B411" s="49"/>
      <c r="H411" s="17"/>
    </row>
    <row r="412" spans="1:8" ht="15" customHeight="1">
      <c r="A412" s="27"/>
      <c r="B412" s="78" t="s">
        <v>627</v>
      </c>
      <c r="C412" s="14" t="s">
        <v>1855</v>
      </c>
      <c r="D412" s="154"/>
      <c r="E412" s="14" t="s">
        <v>1856</v>
      </c>
      <c r="F412" s="154" t="str">
        <f>IF(wskakunin_sekkei8__sikaku="", "", wskakunin_sekkei8__sikaku)</f>
        <v/>
      </c>
      <c r="H412" s="17"/>
    </row>
    <row r="413" spans="1:8" ht="15" customHeight="1">
      <c r="A413" s="32"/>
      <c r="B413" s="78" t="s">
        <v>628</v>
      </c>
      <c r="C413" s="14" t="s">
        <v>1857</v>
      </c>
      <c r="D413" s="154"/>
      <c r="E413" s="14" t="s">
        <v>1858</v>
      </c>
      <c r="F413" s="154" t="str">
        <f>IF(wskakunin_sekkei8_SIKAKU__label="","",wskakunin_sekkei8_SIKAKU__label)</f>
        <v/>
      </c>
      <c r="H413" s="17"/>
    </row>
    <row r="414" spans="1:8" ht="15" customHeight="1">
      <c r="A414" s="32"/>
      <c r="B414" s="78" t="s">
        <v>623</v>
      </c>
      <c r="C414" s="14" t="s">
        <v>1859</v>
      </c>
      <c r="D414" s="154"/>
      <c r="E414" s="14" t="s">
        <v>1860</v>
      </c>
      <c r="F414" s="154" t="str">
        <f>IF(wskakunin_sekkei8_TOUROKU_KIKAN__label="","",wskakunin_sekkei8_TOUROKU_KIKAN__label)</f>
        <v/>
      </c>
      <c r="H414" s="17"/>
    </row>
    <row r="415" spans="1:8" ht="15" customHeight="1">
      <c r="A415" s="32"/>
      <c r="B415" s="78" t="s">
        <v>624</v>
      </c>
      <c r="C415" s="14" t="s">
        <v>1861</v>
      </c>
      <c r="D415" s="240"/>
      <c r="E415" s="14" t="s">
        <v>1862</v>
      </c>
      <c r="F415" s="154" t="str">
        <f>IF(wskakunin_sekkei8_KENTIKUSI_NO="","",wskakunin_sekkei8_KENTIKUSI_NO)</f>
        <v/>
      </c>
      <c r="H415" s="17"/>
    </row>
    <row r="416" spans="1:8" ht="15" customHeight="1">
      <c r="A416" s="44"/>
      <c r="B416" s="78" t="s">
        <v>11</v>
      </c>
      <c r="C416" s="14" t="s">
        <v>1863</v>
      </c>
      <c r="D416" s="154"/>
      <c r="E416" s="14" t="s">
        <v>1864</v>
      </c>
      <c r="F416" s="154" t="str">
        <f>IF(wskakunin_sekkei8_NAME="", "", wskakunin_sekkei8_NAME)</f>
        <v/>
      </c>
      <c r="H416" s="17"/>
    </row>
    <row r="417" spans="1:8" ht="15" customHeight="1">
      <c r="A417" s="44"/>
      <c r="B417" s="78" t="s">
        <v>629</v>
      </c>
      <c r="C417" s="14" t="s">
        <v>1865</v>
      </c>
      <c r="D417" s="154"/>
      <c r="E417" s="14" t="s">
        <v>1866</v>
      </c>
      <c r="F417" s="154" t="str">
        <f>IF(wskakunin_sekkei8_JIMU__sikaku="", "", wskakunin_sekkei8_JIMU__sikaku)</f>
        <v/>
      </c>
      <c r="H417" s="17"/>
    </row>
    <row r="418" spans="1:8" ht="15" customHeight="1">
      <c r="A418" s="44"/>
      <c r="B418" s="78" t="s">
        <v>121</v>
      </c>
      <c r="C418" s="14" t="s">
        <v>1867</v>
      </c>
      <c r="D418" s="154"/>
      <c r="E418" s="14" t="s">
        <v>1868</v>
      </c>
      <c r="F418" s="154" t="str">
        <f>IF(wskakunin_sekkei8_JIMU_SIKAKU__label="","",wskakunin_sekkei8_JIMU_SIKAKU__label)</f>
        <v/>
      </c>
      <c r="H418" s="17"/>
    </row>
    <row r="419" spans="1:8" ht="15" customHeight="1">
      <c r="A419" s="44"/>
      <c r="B419" s="78" t="s">
        <v>630</v>
      </c>
      <c r="C419" s="14" t="s">
        <v>1869</v>
      </c>
      <c r="D419" s="154"/>
      <c r="E419" s="14" t="s">
        <v>1870</v>
      </c>
      <c r="F419" s="154" t="str">
        <f>IF(wskakunin_sekkei8_JIMU_TOUROKU_KIKAN__label="","",wskakunin_sekkei8_JIMU_TOUROKU_KIKAN__label)</f>
        <v/>
      </c>
      <c r="H419" s="17"/>
    </row>
    <row r="420" spans="1:8" ht="15" customHeight="1">
      <c r="A420" s="44"/>
      <c r="B420" s="78" t="s">
        <v>631</v>
      </c>
      <c r="C420" s="14" t="s">
        <v>1871</v>
      </c>
      <c r="D420" s="240"/>
      <c r="E420" s="14" t="s">
        <v>1872</v>
      </c>
      <c r="F420" s="154" t="str">
        <f>IF(wskakunin_sekkei8_JIMU_NO="","",wskakunin_sekkei8_JIMU_NO)</f>
        <v/>
      </c>
      <c r="H420" s="17"/>
    </row>
    <row r="421" spans="1:8" ht="15" customHeight="1">
      <c r="A421" s="60"/>
      <c r="B421" s="78" t="s">
        <v>122</v>
      </c>
      <c r="C421" s="14" t="s">
        <v>1873</v>
      </c>
      <c r="D421" s="154"/>
      <c r="E421" s="14" t="s">
        <v>1874</v>
      </c>
      <c r="F421" s="154" t="str">
        <f>IF(wskakunin_sekkei8_JIMU_NAME="", "", wskakunin_sekkei8_JIMU_NAME)</f>
        <v/>
      </c>
      <c r="H421" s="17"/>
    </row>
    <row r="422" spans="1:8" ht="15" customHeight="1">
      <c r="A422" s="44"/>
      <c r="B422" s="78" t="s">
        <v>647</v>
      </c>
      <c r="D422" s="34"/>
      <c r="E422" s="14" t="s">
        <v>1875</v>
      </c>
      <c r="F422" s="154" t="str">
        <f>wskakunin_sekkei8_JIMU_NAME&amp;" "&amp;wskakunin_sekkei8_NAME</f>
        <v/>
      </c>
      <c r="H422" s="17"/>
    </row>
    <row r="423" spans="1:8" ht="15" customHeight="1">
      <c r="A423" s="60"/>
      <c r="B423" s="78" t="s">
        <v>12</v>
      </c>
      <c r="C423" s="14" t="s">
        <v>1876</v>
      </c>
      <c r="D423" s="240"/>
      <c r="E423" s="14" t="s">
        <v>1877</v>
      </c>
      <c r="F423" s="154" t="str">
        <f>IF(wskakunin_sekkei8_ZIP="", "", wskakunin_sekkei8_ZIP)</f>
        <v/>
      </c>
      <c r="H423" s="17" t="s">
        <v>665</v>
      </c>
    </row>
    <row r="424" spans="1:8" ht="15" customHeight="1">
      <c r="A424" s="60"/>
      <c r="B424" s="78" t="s">
        <v>17</v>
      </c>
      <c r="C424" s="14" t="s">
        <v>1878</v>
      </c>
      <c r="D424" s="154"/>
      <c r="E424" s="14" t="s">
        <v>1879</v>
      </c>
      <c r="F424" s="154" t="str">
        <f>IF(wskakunin_sekkei8__address="", "", wskakunin_sekkei8__address)</f>
        <v/>
      </c>
      <c r="H424" s="17"/>
    </row>
    <row r="425" spans="1:8" ht="15" customHeight="1">
      <c r="A425" s="60"/>
      <c r="B425" s="78" t="s">
        <v>14</v>
      </c>
      <c r="C425" s="14" t="s">
        <v>1880</v>
      </c>
      <c r="D425" s="240"/>
      <c r="E425" s="14" t="s">
        <v>1881</v>
      </c>
      <c r="F425" s="154" t="str">
        <f>IF(wskakunin_sekkei8_TEL="", "", wskakunin_sekkei8_TEL)</f>
        <v/>
      </c>
      <c r="H425" s="17"/>
    </row>
    <row r="426" spans="1:8" ht="15" customHeight="1">
      <c r="A426" s="60"/>
      <c r="B426" s="78" t="s">
        <v>666</v>
      </c>
      <c r="C426" s="14" t="s">
        <v>1882</v>
      </c>
      <c r="D426" s="240"/>
      <c r="E426" s="14" t="s">
        <v>1883</v>
      </c>
      <c r="F426" s="154" t="str">
        <f>IF(wskakunin_sekkei8_DOC="","",wskakunin_sekkei8_DOC)</f>
        <v/>
      </c>
      <c r="H426" s="17"/>
    </row>
    <row r="427" spans="1:8" ht="15" customHeight="1">
      <c r="A427" s="60"/>
      <c r="B427" s="86"/>
      <c r="H427" s="17"/>
    </row>
    <row r="428" spans="1:8" ht="15" customHeight="1">
      <c r="A428" s="1" t="s">
        <v>1975</v>
      </c>
      <c r="B428" s="49"/>
      <c r="H428" s="17"/>
    </row>
    <row r="429" spans="1:8" ht="15" customHeight="1">
      <c r="A429" s="27"/>
      <c r="B429" s="78" t="s">
        <v>627</v>
      </c>
      <c r="C429" s="14" t="s">
        <v>1884</v>
      </c>
      <c r="D429" s="154"/>
      <c r="E429" s="14" t="s">
        <v>1885</v>
      </c>
      <c r="F429" s="154" t="str">
        <f>IF(wskakunin_sekkei9__sikaku="", "", wskakunin_sekkei9__sikaku)</f>
        <v/>
      </c>
      <c r="H429" s="17"/>
    </row>
    <row r="430" spans="1:8" ht="15" customHeight="1">
      <c r="A430" s="32"/>
      <c r="B430" s="78" t="s">
        <v>628</v>
      </c>
      <c r="C430" s="14" t="s">
        <v>1886</v>
      </c>
      <c r="D430" s="154"/>
      <c r="E430" s="14" t="s">
        <v>1887</v>
      </c>
      <c r="F430" s="154" t="str">
        <f>IF(wskakunin_sekkei9_SIKAKU__label="","",wskakunin_sekkei9_SIKAKU__label)</f>
        <v/>
      </c>
      <c r="H430" s="17"/>
    </row>
    <row r="431" spans="1:8" ht="15" customHeight="1">
      <c r="A431" s="32"/>
      <c r="B431" s="78" t="s">
        <v>623</v>
      </c>
      <c r="C431" s="14" t="s">
        <v>1888</v>
      </c>
      <c r="D431" s="154"/>
      <c r="E431" s="14" t="s">
        <v>1889</v>
      </c>
      <c r="F431" s="154" t="str">
        <f>IF(wskakunin_sekkei9_TOUROKU_KIKAN__label="","",wskakunin_sekkei9_TOUROKU_KIKAN__label)</f>
        <v/>
      </c>
      <c r="H431" s="17"/>
    </row>
    <row r="432" spans="1:8" ht="15" customHeight="1">
      <c r="A432" s="32"/>
      <c r="B432" s="78" t="s">
        <v>624</v>
      </c>
      <c r="C432" s="14" t="s">
        <v>1890</v>
      </c>
      <c r="D432" s="240"/>
      <c r="E432" s="14" t="s">
        <v>1891</v>
      </c>
      <c r="F432" s="154" t="str">
        <f>IF(wskakunin_sekkei9_KENTIKUSI_NO="","",wskakunin_sekkei9_KENTIKUSI_NO)</f>
        <v/>
      </c>
      <c r="H432" s="17"/>
    </row>
    <row r="433" spans="1:8" ht="15" customHeight="1">
      <c r="A433" s="44"/>
      <c r="B433" s="78" t="s">
        <v>11</v>
      </c>
      <c r="C433" s="14" t="s">
        <v>1892</v>
      </c>
      <c r="D433" s="154"/>
      <c r="E433" s="14" t="s">
        <v>1893</v>
      </c>
      <c r="F433" s="154" t="str">
        <f>IF(wskakunin_sekkei9_NAME="", "", wskakunin_sekkei9_NAME)</f>
        <v/>
      </c>
      <c r="H433" s="17"/>
    </row>
    <row r="434" spans="1:8" ht="15" customHeight="1">
      <c r="A434" s="44"/>
      <c r="B434" s="78" t="s">
        <v>629</v>
      </c>
      <c r="C434" s="14" t="s">
        <v>1894</v>
      </c>
      <c r="D434" s="154"/>
      <c r="E434" s="14" t="s">
        <v>1895</v>
      </c>
      <c r="F434" s="154" t="str">
        <f>IF(wskakunin_sekkei9_JIMU__sikaku="", "", wskakunin_sekkei9_JIMU__sikaku)</f>
        <v/>
      </c>
      <c r="H434" s="17"/>
    </row>
    <row r="435" spans="1:8" ht="15" customHeight="1">
      <c r="A435" s="44"/>
      <c r="B435" s="78" t="s">
        <v>121</v>
      </c>
      <c r="C435" s="14" t="s">
        <v>1896</v>
      </c>
      <c r="D435" s="154"/>
      <c r="E435" s="14" t="s">
        <v>1897</v>
      </c>
      <c r="F435" s="154" t="str">
        <f>IF(wskakunin_sekkei9_JIMU_SIKAKU__label="","",wskakunin_sekkei9_JIMU_SIKAKU__label)</f>
        <v/>
      </c>
      <c r="H435" s="17"/>
    </row>
    <row r="436" spans="1:8" ht="15" customHeight="1">
      <c r="A436" s="44"/>
      <c r="B436" s="78" t="s">
        <v>630</v>
      </c>
      <c r="C436" s="14" t="s">
        <v>1898</v>
      </c>
      <c r="D436" s="154"/>
      <c r="E436" s="14" t="s">
        <v>1899</v>
      </c>
      <c r="F436" s="154" t="str">
        <f>IF(wskakunin_sekkei9_JIMU_TOUROKU_KIKAN__label="","",wskakunin_sekkei9_JIMU_TOUROKU_KIKAN__label)</f>
        <v/>
      </c>
      <c r="H436" s="17"/>
    </row>
    <row r="437" spans="1:8" ht="15" customHeight="1">
      <c r="A437" s="44"/>
      <c r="B437" s="78" t="s">
        <v>631</v>
      </c>
      <c r="C437" s="14" t="s">
        <v>1900</v>
      </c>
      <c r="D437" s="240"/>
      <c r="E437" s="14" t="s">
        <v>1901</v>
      </c>
      <c r="F437" s="154" t="str">
        <f>IF(wskakunin_sekkei9_JIMU_NO="","",wskakunin_sekkei9_JIMU_NO)</f>
        <v/>
      </c>
      <c r="H437" s="17"/>
    </row>
    <row r="438" spans="1:8" ht="15" customHeight="1">
      <c r="A438" s="60"/>
      <c r="B438" s="78" t="s">
        <v>122</v>
      </c>
      <c r="C438" s="14" t="s">
        <v>1902</v>
      </c>
      <c r="D438" s="154"/>
      <c r="E438" s="14" t="s">
        <v>1903</v>
      </c>
      <c r="F438" s="154" t="str">
        <f>IF(wskakunin_sekkei9_JIMU_NAME="", "", wskakunin_sekkei9_JIMU_NAME)</f>
        <v/>
      </c>
      <c r="H438" s="17"/>
    </row>
    <row r="439" spans="1:8" ht="15" customHeight="1">
      <c r="A439" s="44"/>
      <c r="B439" s="78" t="s">
        <v>647</v>
      </c>
      <c r="D439" s="34"/>
      <c r="E439" s="14" t="s">
        <v>1904</v>
      </c>
      <c r="F439" s="154" t="str">
        <f>wskakunin_sekkei9_JIMU_NAME&amp;" "&amp;wskakunin_sekkei9_NAME</f>
        <v/>
      </c>
      <c r="H439" s="17"/>
    </row>
    <row r="440" spans="1:8" ht="15" customHeight="1">
      <c r="A440" s="60"/>
      <c r="B440" s="78" t="s">
        <v>12</v>
      </c>
      <c r="C440" s="14" t="s">
        <v>1905</v>
      </c>
      <c r="D440" s="240"/>
      <c r="E440" s="14" t="s">
        <v>1906</v>
      </c>
      <c r="F440" s="154" t="str">
        <f>IF(wskakunin_sekkei9_ZIP="", "", wskakunin_sekkei9_ZIP)</f>
        <v/>
      </c>
      <c r="H440" s="17" t="s">
        <v>665</v>
      </c>
    </row>
    <row r="441" spans="1:8" ht="15" customHeight="1">
      <c r="A441" s="60"/>
      <c r="B441" s="78" t="s">
        <v>17</v>
      </c>
      <c r="C441" s="14" t="s">
        <v>1907</v>
      </c>
      <c r="D441" s="154"/>
      <c r="E441" s="14" t="s">
        <v>1908</v>
      </c>
      <c r="F441" s="154" t="str">
        <f>IF(wskakunin_sekkei9__address="", "", wskakunin_sekkei9__address)</f>
        <v/>
      </c>
      <c r="H441" s="17"/>
    </row>
    <row r="442" spans="1:8" ht="15" customHeight="1">
      <c r="A442" s="60"/>
      <c r="B442" s="78" t="s">
        <v>14</v>
      </c>
      <c r="C442" s="14" t="s">
        <v>1909</v>
      </c>
      <c r="D442" s="240"/>
      <c r="E442" s="14" t="s">
        <v>1910</v>
      </c>
      <c r="F442" s="154" t="str">
        <f>IF(wskakunin_sekkei9_TEL="", "", wskakunin_sekkei9_TEL)</f>
        <v/>
      </c>
      <c r="H442" s="17"/>
    </row>
    <row r="443" spans="1:8" ht="15" customHeight="1">
      <c r="A443" s="60"/>
      <c r="B443" s="78" t="s">
        <v>666</v>
      </c>
      <c r="C443" s="14" t="s">
        <v>1911</v>
      </c>
      <c r="D443" s="240"/>
      <c r="E443" s="14" t="s">
        <v>1912</v>
      </c>
      <c r="F443" s="154" t="str">
        <f>IF(wskakunin_sekkei9_DOC="","",wskakunin_sekkei9_DOC)</f>
        <v/>
      </c>
      <c r="H443" s="17"/>
    </row>
    <row r="444" spans="1:8" ht="15" customHeight="1">
      <c r="A444" s="60"/>
      <c r="B444" s="86"/>
      <c r="H444" s="17"/>
    </row>
    <row r="445" spans="1:8" ht="15" customHeight="1">
      <c r="A445" s="1" t="s">
        <v>1976</v>
      </c>
      <c r="B445" s="49"/>
      <c r="H445" s="17"/>
    </row>
    <row r="446" spans="1:8" ht="15" customHeight="1">
      <c r="A446" s="27"/>
      <c r="B446" s="78" t="s">
        <v>627</v>
      </c>
      <c r="C446" s="14" t="s">
        <v>1913</v>
      </c>
      <c r="D446" s="154"/>
      <c r="E446" s="14" t="s">
        <v>1914</v>
      </c>
      <c r="F446" s="154" t="str">
        <f>IF(wskakunin_sekkei10__sikaku="", "", wskakunin_sekkei10__sikaku)</f>
        <v/>
      </c>
      <c r="H446" s="17"/>
    </row>
    <row r="447" spans="1:8" ht="15" customHeight="1">
      <c r="A447" s="32"/>
      <c r="B447" s="78" t="s">
        <v>628</v>
      </c>
      <c r="C447" s="14" t="s">
        <v>1915</v>
      </c>
      <c r="D447" s="154"/>
      <c r="E447" s="14" t="s">
        <v>1916</v>
      </c>
      <c r="F447" s="154" t="str">
        <f>IF(wskakunin_sekkei10_SIKAKU__label="","",wskakunin_sekkei10_SIKAKU__label)</f>
        <v/>
      </c>
      <c r="H447" s="17"/>
    </row>
    <row r="448" spans="1:8" ht="15" customHeight="1">
      <c r="A448" s="32"/>
      <c r="B448" s="78" t="s">
        <v>623</v>
      </c>
      <c r="C448" s="14" t="s">
        <v>1917</v>
      </c>
      <c r="D448" s="154"/>
      <c r="E448" s="14" t="s">
        <v>1918</v>
      </c>
      <c r="F448" s="154" t="str">
        <f>IF(wskakunin_sekkei10_TOUROKU_KIKAN__label="","",wskakunin_sekkei10_TOUROKU_KIKAN__label)</f>
        <v/>
      </c>
      <c r="H448" s="17"/>
    </row>
    <row r="449" spans="1:8" ht="15" customHeight="1">
      <c r="A449" s="32"/>
      <c r="B449" s="78" t="s">
        <v>624</v>
      </c>
      <c r="C449" s="14" t="s">
        <v>1919</v>
      </c>
      <c r="D449" s="240"/>
      <c r="E449" s="14" t="s">
        <v>1920</v>
      </c>
      <c r="F449" s="154" t="str">
        <f>IF(wskakunin_sekkei10_KENTIKUSI_NO="","",wskakunin_sekkei10_KENTIKUSI_NO)</f>
        <v/>
      </c>
      <c r="H449" s="17"/>
    </row>
    <row r="450" spans="1:8" ht="15" customHeight="1">
      <c r="A450" s="44"/>
      <c r="B450" s="78" t="s">
        <v>11</v>
      </c>
      <c r="C450" s="14" t="s">
        <v>1921</v>
      </c>
      <c r="D450" s="154"/>
      <c r="E450" s="14" t="s">
        <v>1922</v>
      </c>
      <c r="F450" s="154" t="str">
        <f>IF(wskakunin_sekkei10_NAME="", "", wskakunin_sekkei10_NAME)</f>
        <v/>
      </c>
      <c r="H450" s="17"/>
    </row>
    <row r="451" spans="1:8" ht="15" customHeight="1">
      <c r="A451" s="44"/>
      <c r="B451" s="78" t="s">
        <v>629</v>
      </c>
      <c r="C451" s="14" t="s">
        <v>1923</v>
      </c>
      <c r="D451" s="154"/>
      <c r="E451" s="14" t="s">
        <v>1924</v>
      </c>
      <c r="F451" s="154" t="str">
        <f>IF(wskakunin_sekkei10_JIMU__sikaku="", "", wskakunin_sekkei10_JIMU__sikaku)</f>
        <v/>
      </c>
      <c r="H451" s="17"/>
    </row>
    <row r="452" spans="1:8" ht="15" customHeight="1">
      <c r="A452" s="44"/>
      <c r="B452" s="78" t="s">
        <v>121</v>
      </c>
      <c r="C452" s="14" t="s">
        <v>1925</v>
      </c>
      <c r="D452" s="154"/>
      <c r="E452" s="14" t="s">
        <v>1926</v>
      </c>
      <c r="F452" s="154" t="str">
        <f>IF(wskakunin_sekkei10_JIMU_SIKAKU__label="","",wskakunin_sekkei10_JIMU_SIKAKU__label)</f>
        <v/>
      </c>
      <c r="H452" s="17"/>
    </row>
    <row r="453" spans="1:8" ht="15" customHeight="1">
      <c r="A453" s="44"/>
      <c r="B453" s="78" t="s">
        <v>630</v>
      </c>
      <c r="C453" s="14" t="s">
        <v>1927</v>
      </c>
      <c r="D453" s="154"/>
      <c r="E453" s="14" t="s">
        <v>1928</v>
      </c>
      <c r="F453" s="154" t="str">
        <f>IF(wskakunin_sekkei10_JIMU_TOUROKU_KIKAN__label="","",wskakunin_sekkei10_JIMU_TOUROKU_KIKAN__label)</f>
        <v/>
      </c>
      <c r="H453" s="17"/>
    </row>
    <row r="454" spans="1:8" ht="15" customHeight="1">
      <c r="A454" s="44"/>
      <c r="B454" s="78" t="s">
        <v>631</v>
      </c>
      <c r="C454" s="14" t="s">
        <v>1929</v>
      </c>
      <c r="D454" s="240"/>
      <c r="E454" s="14" t="s">
        <v>1930</v>
      </c>
      <c r="F454" s="154" t="str">
        <f>IF(wskakunin_sekkei10_JIMU_NO="","",wskakunin_sekkei10_JIMU_NO)</f>
        <v/>
      </c>
      <c r="H454" s="17"/>
    </row>
    <row r="455" spans="1:8" ht="15" customHeight="1">
      <c r="A455" s="60"/>
      <c r="B455" s="78" t="s">
        <v>122</v>
      </c>
      <c r="C455" s="14" t="s">
        <v>1931</v>
      </c>
      <c r="D455" s="154"/>
      <c r="E455" s="14" t="s">
        <v>1932</v>
      </c>
      <c r="F455" s="154" t="str">
        <f>IF(wskakunin_sekkei10_JIMU_NAME="", "", wskakunin_sekkei10_JIMU_NAME)</f>
        <v/>
      </c>
      <c r="H455" s="17"/>
    </row>
    <row r="456" spans="1:8" ht="15" customHeight="1">
      <c r="A456" s="44"/>
      <c r="B456" s="78" t="s">
        <v>647</v>
      </c>
      <c r="D456" s="34"/>
      <c r="E456" s="14" t="s">
        <v>1933</v>
      </c>
      <c r="F456" s="154" t="str">
        <f>wskakunin_sekkei10_JIMU_NAME&amp;" "&amp;wskakunin_sekkei10_NAME</f>
        <v/>
      </c>
      <c r="H456" s="17"/>
    </row>
    <row r="457" spans="1:8" ht="15" customHeight="1">
      <c r="A457" s="60"/>
      <c r="B457" s="78" t="s">
        <v>12</v>
      </c>
      <c r="C457" s="14" t="s">
        <v>1934</v>
      </c>
      <c r="D457" s="240"/>
      <c r="E457" s="14" t="s">
        <v>1935</v>
      </c>
      <c r="F457" s="154" t="str">
        <f>IF(wskakunin_sekkei10_ZIP="", "", wskakunin_sekkei10_ZIP)</f>
        <v/>
      </c>
      <c r="H457" s="17" t="s">
        <v>665</v>
      </c>
    </row>
    <row r="458" spans="1:8" ht="15" customHeight="1">
      <c r="A458" s="60"/>
      <c r="B458" s="78" t="s">
        <v>17</v>
      </c>
      <c r="C458" s="14" t="s">
        <v>1936</v>
      </c>
      <c r="D458" s="154"/>
      <c r="E458" s="14" t="s">
        <v>1937</v>
      </c>
      <c r="F458" s="154" t="str">
        <f>IF(wskakunin_sekkei10__address="", "", wskakunin_sekkei10__address)</f>
        <v/>
      </c>
      <c r="H458" s="17"/>
    </row>
    <row r="459" spans="1:8" ht="15" customHeight="1">
      <c r="A459" s="60"/>
      <c r="B459" s="78" t="s">
        <v>14</v>
      </c>
      <c r="C459" s="14" t="s">
        <v>1938</v>
      </c>
      <c r="D459" s="240"/>
      <c r="E459" s="14" t="s">
        <v>1939</v>
      </c>
      <c r="F459" s="154" t="str">
        <f>IF(wskakunin_sekkei10_TEL="", "", wskakunin_sekkei10_TEL)</f>
        <v/>
      </c>
      <c r="H459" s="17"/>
    </row>
    <row r="460" spans="1:8" ht="15" customHeight="1">
      <c r="A460" s="60"/>
      <c r="B460" s="78" t="s">
        <v>666</v>
      </c>
      <c r="C460" s="14" t="s">
        <v>1940</v>
      </c>
      <c r="D460" s="240"/>
      <c r="E460" s="14" t="s">
        <v>1941</v>
      </c>
      <c r="F460" s="154" t="str">
        <f>IF(wskakunin_sekkei10_DOC="","",wskakunin_sekkei10_DOC)</f>
        <v/>
      </c>
      <c r="H460" s="17"/>
    </row>
    <row r="461" spans="1:8" ht="15" customHeight="1">
      <c r="A461" s="60"/>
      <c r="B461" s="86"/>
      <c r="H461" s="17"/>
    </row>
    <row r="462" spans="1:8" ht="15" customHeight="1">
      <c r="A462" s="1" t="s">
        <v>1971</v>
      </c>
      <c r="B462" s="49"/>
      <c r="H462" s="17"/>
    </row>
    <row r="463" spans="1:8" ht="15" customHeight="1">
      <c r="A463" s="27"/>
      <c r="B463" s="78" t="s">
        <v>627</v>
      </c>
      <c r="C463" s="14" t="s">
        <v>1942</v>
      </c>
      <c r="D463" s="154"/>
      <c r="E463" s="14" t="s">
        <v>1943</v>
      </c>
      <c r="F463" s="154" t="str">
        <f>IF(wskakunin_sekkei11__sikaku="", "", wskakunin_sekkei11__sikaku)</f>
        <v/>
      </c>
      <c r="H463" s="17"/>
    </row>
    <row r="464" spans="1:8" ht="15" customHeight="1">
      <c r="A464" s="32"/>
      <c r="B464" s="78" t="s">
        <v>628</v>
      </c>
      <c r="C464" s="14" t="s">
        <v>1944</v>
      </c>
      <c r="D464" s="154"/>
      <c r="E464" s="14" t="s">
        <v>1945</v>
      </c>
      <c r="F464" s="154" t="str">
        <f>IF(wskakunin_sekkei11_SIKAKU__label="","",wskakunin_sekkei11_SIKAKU__label)</f>
        <v/>
      </c>
      <c r="H464" s="17"/>
    </row>
    <row r="465" spans="1:8" ht="15" customHeight="1">
      <c r="A465" s="32"/>
      <c r="B465" s="78" t="s">
        <v>623</v>
      </c>
      <c r="C465" s="14" t="s">
        <v>1946</v>
      </c>
      <c r="D465" s="154"/>
      <c r="E465" s="14" t="s">
        <v>1947</v>
      </c>
      <c r="F465" s="154" t="str">
        <f>IF(wskakunin_sekkei11_TOUROKU_KIKAN__label="","",wskakunin_sekkei11_TOUROKU_KIKAN__label)</f>
        <v/>
      </c>
      <c r="H465" s="17"/>
    </row>
    <row r="466" spans="1:8" ht="15" customHeight="1">
      <c r="A466" s="32"/>
      <c r="B466" s="78" t="s">
        <v>624</v>
      </c>
      <c r="C466" s="14" t="s">
        <v>1948</v>
      </c>
      <c r="D466" s="240"/>
      <c r="E466" s="14" t="s">
        <v>1949</v>
      </c>
      <c r="F466" s="154" t="str">
        <f>IF(wskakunin_sekkei11_KENTIKUSI_NO="","",wskakunin_sekkei11_KENTIKUSI_NO)</f>
        <v/>
      </c>
      <c r="H466" s="17"/>
    </row>
    <row r="467" spans="1:8" ht="15" customHeight="1">
      <c r="A467" s="44"/>
      <c r="B467" s="78" t="s">
        <v>11</v>
      </c>
      <c r="C467" s="14" t="s">
        <v>1950</v>
      </c>
      <c r="D467" s="154"/>
      <c r="E467" s="14" t="s">
        <v>1951</v>
      </c>
      <c r="F467" s="154" t="str">
        <f>IF(wskakunin_sekkei11_NAME="", "", wskakunin_sekkei11_NAME)</f>
        <v/>
      </c>
      <c r="H467" s="17"/>
    </row>
    <row r="468" spans="1:8" ht="15" customHeight="1">
      <c r="A468" s="44"/>
      <c r="B468" s="78" t="s">
        <v>629</v>
      </c>
      <c r="C468" s="14" t="s">
        <v>1952</v>
      </c>
      <c r="D468" s="154"/>
      <c r="E468" s="14" t="s">
        <v>1953</v>
      </c>
      <c r="F468" s="154" t="str">
        <f>IF(wskakunin_sekkei11_JIMU__sikaku="", "", wskakunin_sekkei11_JIMU__sikaku)</f>
        <v/>
      </c>
      <c r="H468" s="17"/>
    </row>
    <row r="469" spans="1:8" ht="15" customHeight="1">
      <c r="A469" s="44"/>
      <c r="B469" s="78" t="s">
        <v>121</v>
      </c>
      <c r="C469" s="14" t="s">
        <v>1954</v>
      </c>
      <c r="D469" s="154"/>
      <c r="E469" s="14" t="s">
        <v>1955</v>
      </c>
      <c r="F469" s="154" t="str">
        <f>IF(wskakunin_sekkei11_JIMU_SIKAKU__label="","",wskakunin_sekkei11_JIMU_SIKAKU__label)</f>
        <v/>
      </c>
      <c r="H469" s="17"/>
    </row>
    <row r="470" spans="1:8" ht="15" customHeight="1">
      <c r="A470" s="44"/>
      <c r="B470" s="78" t="s">
        <v>630</v>
      </c>
      <c r="C470" s="14" t="s">
        <v>1956</v>
      </c>
      <c r="D470" s="154"/>
      <c r="E470" s="14" t="s">
        <v>1957</v>
      </c>
      <c r="F470" s="154" t="str">
        <f>IF(wskakunin_sekkei11_JIMU_TOUROKU_KIKAN__label="","",wskakunin_sekkei11_JIMU_TOUROKU_KIKAN__label)</f>
        <v/>
      </c>
      <c r="H470" s="17"/>
    </row>
    <row r="471" spans="1:8" ht="15" customHeight="1">
      <c r="A471" s="44"/>
      <c r="B471" s="78" t="s">
        <v>631</v>
      </c>
      <c r="C471" s="14" t="s">
        <v>1958</v>
      </c>
      <c r="D471" s="240"/>
      <c r="E471" s="14" t="s">
        <v>1959</v>
      </c>
      <c r="F471" s="154" t="str">
        <f>IF(wskakunin_sekkei11_JIMU_NO="","",wskakunin_sekkei11_JIMU_NO)</f>
        <v/>
      </c>
      <c r="H471" s="17"/>
    </row>
    <row r="472" spans="1:8" ht="15" customHeight="1">
      <c r="A472" s="60"/>
      <c r="B472" s="78" t="s">
        <v>122</v>
      </c>
      <c r="C472" s="14" t="s">
        <v>1960</v>
      </c>
      <c r="D472" s="154"/>
      <c r="E472" s="14" t="s">
        <v>1961</v>
      </c>
      <c r="F472" s="154" t="str">
        <f>IF(wskakunin_sekkei11_JIMU_NAME="", "", wskakunin_sekkei11_JIMU_NAME)</f>
        <v/>
      </c>
      <c r="H472" s="17"/>
    </row>
    <row r="473" spans="1:8" ht="15" customHeight="1">
      <c r="A473" s="44"/>
      <c r="B473" s="78" t="s">
        <v>647</v>
      </c>
      <c r="D473" s="34"/>
      <c r="E473" s="14" t="s">
        <v>1962</v>
      </c>
      <c r="F473" s="154" t="str">
        <f>wskakunin_sekkei11_JIMU_NAME&amp;" "&amp;wskakunin_sekkei11_NAME</f>
        <v/>
      </c>
      <c r="H473" s="17"/>
    </row>
    <row r="474" spans="1:8" ht="15" customHeight="1">
      <c r="A474" s="60"/>
      <c r="B474" s="78" t="s">
        <v>12</v>
      </c>
      <c r="C474" s="14" t="s">
        <v>1963</v>
      </c>
      <c r="D474" s="240"/>
      <c r="E474" s="14" t="s">
        <v>1964</v>
      </c>
      <c r="F474" s="154" t="str">
        <f>IF(wskakunin_sekkei11_ZIP="", "", wskakunin_sekkei11_ZIP)</f>
        <v/>
      </c>
      <c r="H474" s="17" t="s">
        <v>665</v>
      </c>
    </row>
    <row r="475" spans="1:8" ht="15" customHeight="1">
      <c r="A475" s="60"/>
      <c r="B475" s="78" t="s">
        <v>17</v>
      </c>
      <c r="C475" s="14" t="s">
        <v>1965</v>
      </c>
      <c r="D475" s="154"/>
      <c r="E475" s="14" t="s">
        <v>1966</v>
      </c>
      <c r="F475" s="154" t="str">
        <f>IF(wskakunin_sekkei11__address="", "", wskakunin_sekkei11__address)</f>
        <v/>
      </c>
      <c r="H475" s="17"/>
    </row>
    <row r="476" spans="1:8" ht="15" customHeight="1">
      <c r="A476" s="60"/>
      <c r="B476" s="78" t="s">
        <v>14</v>
      </c>
      <c r="C476" s="14" t="s">
        <v>1967</v>
      </c>
      <c r="D476" s="240"/>
      <c r="E476" s="14" t="s">
        <v>1968</v>
      </c>
      <c r="F476" s="154" t="str">
        <f>IF(wskakunin_sekkei11_TEL="", "", wskakunin_sekkei11_TEL)</f>
        <v/>
      </c>
      <c r="H476" s="17"/>
    </row>
    <row r="477" spans="1:8" ht="15" customHeight="1">
      <c r="A477" s="60"/>
      <c r="B477" s="78" t="s">
        <v>666</v>
      </c>
      <c r="C477" s="14" t="s">
        <v>1969</v>
      </c>
      <c r="D477" s="240"/>
      <c r="E477" s="14" t="s">
        <v>1970</v>
      </c>
      <c r="F477" s="154" t="str">
        <f>IF(wskakunin_sekkei11_DOC="","",wskakunin_sekkei11_DOC)</f>
        <v/>
      </c>
      <c r="H477" s="17"/>
    </row>
    <row r="478" spans="1:8" ht="15" customHeight="1">
      <c r="A478" s="60"/>
      <c r="B478" s="86"/>
      <c r="G478" s="17"/>
      <c r="H478" s="17"/>
    </row>
    <row r="479" spans="1:8" ht="15" customHeight="1">
      <c r="A479" s="1" t="s">
        <v>2298</v>
      </c>
      <c r="B479" s="49"/>
      <c r="H479" s="17"/>
    </row>
    <row r="480" spans="1:8" ht="15" customHeight="1">
      <c r="A480" s="27"/>
      <c r="B480" s="78" t="s">
        <v>627</v>
      </c>
      <c r="C480" s="14" t="s">
        <v>2269</v>
      </c>
      <c r="D480" s="154"/>
      <c r="E480" s="14" t="s">
        <v>2270</v>
      </c>
      <c r="F480" s="154" t="str">
        <f>IF(wskakunin_sekkei12__sikaku="", "", wskakunin_sekkei12__sikaku)</f>
        <v/>
      </c>
      <c r="H480" s="17"/>
    </row>
    <row r="481" spans="1:8" ht="15" customHeight="1">
      <c r="A481" s="32"/>
      <c r="B481" s="78" t="s">
        <v>628</v>
      </c>
      <c r="C481" s="14" t="s">
        <v>2271</v>
      </c>
      <c r="D481" s="154"/>
      <c r="E481" s="14" t="s">
        <v>2272</v>
      </c>
      <c r="F481" s="154" t="str">
        <f>IF(wskakunin_sekkei12_SIKAKU__label="","",wskakunin_sekkei12_SIKAKU__label)</f>
        <v/>
      </c>
      <c r="H481" s="17"/>
    </row>
    <row r="482" spans="1:8" ht="15" customHeight="1">
      <c r="A482" s="32"/>
      <c r="B482" s="78" t="s">
        <v>623</v>
      </c>
      <c r="C482" s="14" t="s">
        <v>2273</v>
      </c>
      <c r="D482" s="154"/>
      <c r="E482" s="14" t="s">
        <v>2274</v>
      </c>
      <c r="F482" s="154" t="str">
        <f>IF(wskakunin_sekkei12_TOUROKU_KIKAN__label="","",wskakunin_sekkei12_TOUROKU_KIKAN__label)</f>
        <v/>
      </c>
      <c r="H482" s="17"/>
    </row>
    <row r="483" spans="1:8" ht="15" customHeight="1">
      <c r="A483" s="32"/>
      <c r="B483" s="78" t="s">
        <v>624</v>
      </c>
      <c r="C483" s="14" t="s">
        <v>2275</v>
      </c>
      <c r="D483" s="240"/>
      <c r="E483" s="14" t="s">
        <v>2276</v>
      </c>
      <c r="F483" s="154" t="str">
        <f>IF(wskakunin_sekkei12_KENTIKUSI_NO="","",wskakunin_sekkei12_KENTIKUSI_NO)</f>
        <v/>
      </c>
      <c r="H483" s="17"/>
    </row>
    <row r="484" spans="1:8" ht="15" customHeight="1">
      <c r="A484" s="44"/>
      <c r="B484" s="78" t="s">
        <v>11</v>
      </c>
      <c r="C484" s="14" t="s">
        <v>2277</v>
      </c>
      <c r="D484" s="154"/>
      <c r="E484" s="14" t="s">
        <v>2278</v>
      </c>
      <c r="F484" s="154" t="str">
        <f>IF(wskakunin_sekkei12_NAME="", "", wskakunin_sekkei12_NAME)</f>
        <v/>
      </c>
      <c r="H484" s="17"/>
    </row>
    <row r="485" spans="1:8" ht="15" customHeight="1">
      <c r="A485" s="44"/>
      <c r="B485" s="78" t="s">
        <v>629</v>
      </c>
      <c r="C485" s="14" t="s">
        <v>2279</v>
      </c>
      <c r="D485" s="154"/>
      <c r="E485" s="14" t="s">
        <v>2280</v>
      </c>
      <c r="F485" s="154" t="str">
        <f>IF(wskakunin_sekkei12_JIMU__sikaku="", "", wskakunin_sekkei12_JIMU__sikaku)</f>
        <v/>
      </c>
      <c r="H485" s="17"/>
    </row>
    <row r="486" spans="1:8" ht="15" customHeight="1">
      <c r="A486" s="44"/>
      <c r="B486" s="78" t="s">
        <v>121</v>
      </c>
      <c r="C486" s="14" t="s">
        <v>2281</v>
      </c>
      <c r="D486" s="154"/>
      <c r="E486" s="14" t="s">
        <v>2282</v>
      </c>
      <c r="F486" s="154" t="str">
        <f>IF(wskakunin_sekkei12_JIMU_SIKAKU__label="","",wskakunin_sekkei12_JIMU_SIKAKU__label)</f>
        <v/>
      </c>
      <c r="H486" s="17"/>
    </row>
    <row r="487" spans="1:8" ht="15" customHeight="1">
      <c r="A487" s="44"/>
      <c r="B487" s="78" t="s">
        <v>630</v>
      </c>
      <c r="C487" s="14" t="s">
        <v>2283</v>
      </c>
      <c r="D487" s="154"/>
      <c r="E487" s="14" t="s">
        <v>2284</v>
      </c>
      <c r="F487" s="154" t="str">
        <f>IF(wskakunin_sekkei12_JIMU_TOUROKU_KIKAN__label="","",wskakunin_sekkei12_JIMU_TOUROKU_KIKAN__label)</f>
        <v/>
      </c>
      <c r="H487" s="17"/>
    </row>
    <row r="488" spans="1:8" ht="15" customHeight="1">
      <c r="A488" s="44"/>
      <c r="B488" s="78" t="s">
        <v>631</v>
      </c>
      <c r="C488" s="14" t="s">
        <v>2285</v>
      </c>
      <c r="D488" s="240"/>
      <c r="E488" s="14" t="s">
        <v>2286</v>
      </c>
      <c r="F488" s="154" t="str">
        <f>IF(wskakunin_sekkei12_JIMU_NO="","",wskakunin_sekkei12_JIMU_NO)</f>
        <v/>
      </c>
      <c r="H488" s="17"/>
    </row>
    <row r="489" spans="1:8" ht="15" customHeight="1">
      <c r="A489" s="60"/>
      <c r="B489" s="78" t="s">
        <v>122</v>
      </c>
      <c r="C489" s="14" t="s">
        <v>2287</v>
      </c>
      <c r="D489" s="154"/>
      <c r="E489" s="14" t="s">
        <v>2288</v>
      </c>
      <c r="F489" s="154" t="str">
        <f>IF(wskakunin_sekkei12_JIMU_NAME="", "", wskakunin_sekkei12_JIMU_NAME)</f>
        <v/>
      </c>
      <c r="H489" s="17"/>
    </row>
    <row r="490" spans="1:8" ht="15" customHeight="1">
      <c r="A490" s="44"/>
      <c r="B490" s="78" t="s">
        <v>647</v>
      </c>
      <c r="D490" s="34"/>
      <c r="E490" s="14" t="s">
        <v>2289</v>
      </c>
      <c r="F490" s="154" t="str">
        <f>wskakunin_sekkei12_JIMU_NAME&amp;" "&amp;wskakunin_sekkei12_NAME</f>
        <v/>
      </c>
      <c r="H490" s="17"/>
    </row>
    <row r="491" spans="1:8" ht="15" customHeight="1">
      <c r="A491" s="60"/>
      <c r="B491" s="78" t="s">
        <v>12</v>
      </c>
      <c r="C491" s="14" t="s">
        <v>2290</v>
      </c>
      <c r="D491" s="240"/>
      <c r="E491" s="14" t="s">
        <v>2291</v>
      </c>
      <c r="F491" s="154" t="str">
        <f>IF(wskakunin_sekkei12_ZIP="", "", wskakunin_sekkei12_ZIP)</f>
        <v/>
      </c>
      <c r="H491" s="17" t="s">
        <v>665</v>
      </c>
    </row>
    <row r="492" spans="1:8" ht="15" customHeight="1">
      <c r="A492" s="60"/>
      <c r="B492" s="78" t="s">
        <v>17</v>
      </c>
      <c r="C492" s="14" t="s">
        <v>2292</v>
      </c>
      <c r="D492" s="154"/>
      <c r="E492" s="14" t="s">
        <v>2293</v>
      </c>
      <c r="F492" s="154" t="str">
        <f>IF(wskakunin_sekkei12__address="", "", wskakunin_sekkei12__address)</f>
        <v/>
      </c>
      <c r="H492" s="17"/>
    </row>
    <row r="493" spans="1:8" ht="15" customHeight="1">
      <c r="A493" s="60"/>
      <c r="B493" s="78" t="s">
        <v>14</v>
      </c>
      <c r="C493" s="14" t="s">
        <v>2294</v>
      </c>
      <c r="D493" s="240"/>
      <c r="E493" s="14" t="s">
        <v>2295</v>
      </c>
      <c r="F493" s="154" t="str">
        <f>IF(wskakunin_sekkei12_TEL="", "", wskakunin_sekkei12_TEL)</f>
        <v/>
      </c>
      <c r="H493" s="17"/>
    </row>
    <row r="494" spans="1:8" ht="15" customHeight="1">
      <c r="A494" s="60"/>
      <c r="B494" s="78" t="s">
        <v>666</v>
      </c>
      <c r="C494" s="14" t="s">
        <v>2296</v>
      </c>
      <c r="D494" s="240"/>
      <c r="E494" s="14" t="s">
        <v>2297</v>
      </c>
      <c r="F494" s="154" t="str">
        <f>IF(wskakunin_sekkei12_DOC="","",wskakunin_sekkei12_DOC)</f>
        <v/>
      </c>
      <c r="H494" s="17"/>
    </row>
    <row r="495" spans="1:8" ht="15" customHeight="1">
      <c r="A495" s="60"/>
      <c r="B495" s="86"/>
      <c r="G495" s="17"/>
      <c r="H495" s="17"/>
    </row>
    <row r="496" spans="1:8" s="20" customFormat="1" ht="15" customHeight="1">
      <c r="A496" s="82" t="s">
        <v>826</v>
      </c>
      <c r="B496" s="102"/>
    </row>
    <row r="497" spans="1:6" s="20" customFormat="1" ht="15" customHeight="1">
      <c r="A497" s="42" t="s">
        <v>827</v>
      </c>
      <c r="B497" s="103"/>
    </row>
    <row r="498" spans="1:6" s="20" customFormat="1" ht="15" customHeight="1">
      <c r="A498" s="104"/>
      <c r="B498" s="75" t="s">
        <v>673</v>
      </c>
      <c r="C498" s="33" t="s">
        <v>828</v>
      </c>
      <c r="D498" s="249"/>
      <c r="E498" s="33" t="s">
        <v>829</v>
      </c>
      <c r="F498" s="251" t="str">
        <f>IF(wskakunin_20kouzou101_NAME="","",wskakunin_20kouzou101_NAME)</f>
        <v/>
      </c>
    </row>
    <row r="499" spans="1:6" s="20" customFormat="1" ht="15" customHeight="1">
      <c r="A499" s="104"/>
      <c r="B499" s="75" t="s">
        <v>671</v>
      </c>
      <c r="C499" s="33" t="s">
        <v>2570</v>
      </c>
      <c r="D499" s="249"/>
      <c r="E499" s="33" t="s">
        <v>2571</v>
      </c>
      <c r="F499" s="252" t="str">
        <f>IF(wskakunin_20kouzou101_KOUZOUSEKKEI_KOUFU_NO="","",wskakunin_20kouzou101_KOUZOUSEKKEI_KOUFU_NO)</f>
        <v/>
      </c>
    </row>
    <row r="500" spans="1:6" s="20" customFormat="1" ht="15" customHeight="1">
      <c r="A500" s="104"/>
      <c r="B500" s="75" t="s">
        <v>673</v>
      </c>
      <c r="C500" s="33" t="s">
        <v>2605</v>
      </c>
      <c r="D500" s="249"/>
      <c r="E500" s="33" t="s">
        <v>2606</v>
      </c>
      <c r="F500" s="252" t="str">
        <f>IF(wskakunin_20kouzou102_NAME="","",wskakunin_20kouzou102_NAME)</f>
        <v/>
      </c>
    </row>
    <row r="501" spans="1:6" s="20" customFormat="1" ht="15" customHeight="1">
      <c r="A501" s="104"/>
      <c r="B501" s="75" t="s">
        <v>671</v>
      </c>
      <c r="C501" s="33" t="s">
        <v>2607</v>
      </c>
      <c r="D501" s="249"/>
      <c r="E501" s="33" t="s">
        <v>2608</v>
      </c>
      <c r="F501" s="252" t="str">
        <f>IF(wskakunin_20kouzou102_KOUZOUSEKKEI_KOUFU_NO="","",wskakunin_20kouzou102_KOUZOUSEKKEI_KOUFU_NO)</f>
        <v/>
      </c>
    </row>
    <row r="502" spans="1:6" s="20" customFormat="1" ht="15" customHeight="1">
      <c r="A502" s="104"/>
      <c r="B502" s="75" t="s">
        <v>673</v>
      </c>
      <c r="C502" s="33" t="s">
        <v>2609</v>
      </c>
      <c r="D502" s="249"/>
      <c r="E502" s="33" t="s">
        <v>2610</v>
      </c>
      <c r="F502" s="252" t="str">
        <f>IF(wskakunin_20kouzou103_NAME="","",wskakunin_20kouzou103_NAME)</f>
        <v/>
      </c>
    </row>
    <row r="503" spans="1:6" s="20" customFormat="1" ht="15" customHeight="1">
      <c r="A503" s="104"/>
      <c r="B503" s="75" t="s">
        <v>671</v>
      </c>
      <c r="C503" s="33" t="s">
        <v>2611</v>
      </c>
      <c r="D503" s="249"/>
      <c r="E503" s="33" t="s">
        <v>2612</v>
      </c>
      <c r="F503" s="252" t="str">
        <f>IF(wskakunin_20kouzou103_KOUZOUSEKKEI_KOUFU_NO="","",wskakunin_20kouzou103_KOUZOUSEKKEI_KOUFU_NO)</f>
        <v/>
      </c>
    </row>
    <row r="504" spans="1:6" s="20" customFormat="1" ht="15" customHeight="1">
      <c r="A504" s="104"/>
      <c r="B504" s="75" t="s">
        <v>673</v>
      </c>
      <c r="C504" s="33" t="s">
        <v>2613</v>
      </c>
      <c r="D504" s="249"/>
      <c r="E504" s="33" t="s">
        <v>2614</v>
      </c>
      <c r="F504" s="252" t="str">
        <f>IF(wskakunin_20kouzou104_NAME="","",wskakunin_20kouzou104_NAME)</f>
        <v/>
      </c>
    </row>
    <row r="505" spans="1:6" s="20" customFormat="1" ht="15" customHeight="1">
      <c r="A505" s="104"/>
      <c r="B505" s="75" t="s">
        <v>671</v>
      </c>
      <c r="C505" s="33" t="s">
        <v>2615</v>
      </c>
      <c r="D505" s="249"/>
      <c r="E505" s="33" t="s">
        <v>2616</v>
      </c>
      <c r="F505" s="252" t="str">
        <f>IF(wskakunin_20kouzou104_KOUZOUSEKKEI_KOUFU_NO="","",wskakunin_20kouzou104_KOUZOUSEKKEI_KOUFU_NO)</f>
        <v/>
      </c>
    </row>
    <row r="506" spans="1:6" s="20" customFormat="1" ht="15" customHeight="1">
      <c r="A506" s="104"/>
      <c r="B506" s="75" t="s">
        <v>673</v>
      </c>
      <c r="C506" s="33" t="s">
        <v>2617</v>
      </c>
      <c r="D506" s="250"/>
      <c r="E506" s="33" t="s">
        <v>2618</v>
      </c>
      <c r="F506" s="252" t="str">
        <f>IF(wskakunin_20kouzou105_NAME="","",wskakunin_20kouzou105_NAME)</f>
        <v/>
      </c>
    </row>
    <row r="507" spans="1:6" s="20" customFormat="1" ht="15" customHeight="1">
      <c r="A507" s="104"/>
      <c r="B507" s="75" t="s">
        <v>671</v>
      </c>
      <c r="C507" s="33" t="s">
        <v>2619</v>
      </c>
      <c r="D507" s="249"/>
      <c r="E507" s="33" t="s">
        <v>2620</v>
      </c>
      <c r="F507" s="252" t="str">
        <f>IF(wskakunin_20kouzou105_KOUZOUSEKKEI_KOUFU_NO="","",wskakunin_20kouzou105_KOUZOUSEKKEI_KOUFU_NO)</f>
        <v/>
      </c>
    </row>
    <row r="508" spans="1:6" ht="15" customHeight="1">
      <c r="A508" s="50"/>
      <c r="B508" s="75"/>
    </row>
    <row r="509" spans="1:6" s="20" customFormat="1" ht="15" customHeight="1">
      <c r="A509" s="42" t="s">
        <v>830</v>
      </c>
      <c r="B509" s="103"/>
      <c r="C509" s="211"/>
      <c r="D509" s="212"/>
      <c r="E509" s="211"/>
      <c r="F509" s="211"/>
    </row>
    <row r="510" spans="1:6" s="20" customFormat="1" ht="15" customHeight="1">
      <c r="A510" s="104"/>
      <c r="B510" s="75" t="s">
        <v>673</v>
      </c>
      <c r="C510" s="33" t="s">
        <v>831</v>
      </c>
      <c r="D510" s="249"/>
      <c r="E510" s="33" t="s">
        <v>832</v>
      </c>
      <c r="F510" s="251" t="str">
        <f>IF(wskakunin_20kouzou301_NAME="","",wskakunin_20kouzou301_NAME)</f>
        <v/>
      </c>
    </row>
    <row r="511" spans="1:6" s="20" customFormat="1" ht="15" customHeight="1">
      <c r="A511" s="104"/>
      <c r="B511" s="75" t="s">
        <v>671</v>
      </c>
      <c r="C511" s="211" t="s">
        <v>2572</v>
      </c>
      <c r="D511" s="249"/>
      <c r="E511" s="211" t="s">
        <v>2573</v>
      </c>
      <c r="F511" s="251" t="str">
        <f>IF(wskakunin_20kouzou301_KOUZOUSEKKEI_KOUFU_NO="","",wskakunin_20kouzou301_KOUZOUSEKKEI_KOUFU_NO)</f>
        <v/>
      </c>
    </row>
    <row r="512" spans="1:6" s="20" customFormat="1" ht="15" customHeight="1">
      <c r="A512" s="104"/>
      <c r="B512" s="75" t="s">
        <v>673</v>
      </c>
      <c r="C512" s="211" t="s">
        <v>2621</v>
      </c>
      <c r="D512" s="249"/>
      <c r="E512" s="211" t="s">
        <v>2622</v>
      </c>
      <c r="F512" s="251" t="str">
        <f>IF(wskakunin_20kouzou302_NAME="","",wskakunin_20kouzou302_NAME)</f>
        <v/>
      </c>
    </row>
    <row r="513" spans="1:6" s="20" customFormat="1" ht="15" customHeight="1">
      <c r="A513" s="104"/>
      <c r="B513" s="75" t="s">
        <v>671</v>
      </c>
      <c r="C513" s="211" t="s">
        <v>2623</v>
      </c>
      <c r="D513" s="249"/>
      <c r="E513" s="211" t="s">
        <v>2624</v>
      </c>
      <c r="F513" s="251" t="str">
        <f>IF(wskakunin_20kouzou302_KOUZOUSEKKEI_KOUFU_NO="","",wskakunin_20kouzou302_KOUZOUSEKKEI_KOUFU_NO)</f>
        <v/>
      </c>
    </row>
    <row r="514" spans="1:6" s="20" customFormat="1" ht="15" customHeight="1">
      <c r="A514" s="104"/>
      <c r="B514" s="75" t="s">
        <v>673</v>
      </c>
      <c r="C514" s="211" t="s">
        <v>2625</v>
      </c>
      <c r="D514" s="249"/>
      <c r="E514" s="211" t="s">
        <v>2626</v>
      </c>
      <c r="F514" s="251" t="str">
        <f>IF(wskakunin_20kouzou303_NAME="","",wskakunin_20kouzou303_NAME)</f>
        <v/>
      </c>
    </row>
    <row r="515" spans="1:6" s="20" customFormat="1" ht="15" customHeight="1">
      <c r="A515" s="104"/>
      <c r="B515" s="75" t="s">
        <v>671</v>
      </c>
      <c r="C515" s="211" t="s">
        <v>2627</v>
      </c>
      <c r="D515" s="249"/>
      <c r="E515" s="211" t="s">
        <v>2628</v>
      </c>
      <c r="F515" s="251" t="str">
        <f>IF(wskakunin_20kouzou303_KOUZOUSEKKEI_KOUFU_NO="","",wskakunin_20kouzou303_KOUZOUSEKKEI_KOUFU_NO)</f>
        <v/>
      </c>
    </row>
    <row r="516" spans="1:6" s="20" customFormat="1" ht="15" customHeight="1">
      <c r="A516" s="104"/>
      <c r="B516" s="75" t="s">
        <v>673</v>
      </c>
      <c r="C516" s="211" t="s">
        <v>2629</v>
      </c>
      <c r="D516" s="249"/>
      <c r="E516" s="211" t="s">
        <v>2630</v>
      </c>
      <c r="F516" s="251" t="str">
        <f>IF(wskakunin_20kouzou304_NAME="","",wskakunin_20kouzou304_NAME)</f>
        <v/>
      </c>
    </row>
    <row r="517" spans="1:6" s="20" customFormat="1" ht="15" customHeight="1">
      <c r="A517" s="104"/>
      <c r="B517" s="75" t="s">
        <v>671</v>
      </c>
      <c r="C517" s="211" t="s">
        <v>2631</v>
      </c>
      <c r="D517" s="249"/>
      <c r="E517" s="211" t="s">
        <v>2632</v>
      </c>
      <c r="F517" s="251" t="str">
        <f>IF(wskakunin_20kouzou304_KOUZOUSEKKEI_KOUFU_NO="","",wskakunin_20kouzou304_KOUZOUSEKKEI_KOUFU_NO)</f>
        <v/>
      </c>
    </row>
    <row r="518" spans="1:6" s="20" customFormat="1" ht="15" customHeight="1">
      <c r="A518" s="104"/>
      <c r="B518" s="75" t="s">
        <v>673</v>
      </c>
      <c r="C518" s="211" t="s">
        <v>2633</v>
      </c>
      <c r="D518" s="249"/>
      <c r="E518" s="211" t="s">
        <v>2634</v>
      </c>
      <c r="F518" s="251" t="str">
        <f>IF(wskakunin_20kouzou305_NAME="","",wskakunin_20kouzou305_NAME)</f>
        <v/>
      </c>
    </row>
    <row r="519" spans="1:6" s="20" customFormat="1" ht="15" customHeight="1">
      <c r="A519" s="104"/>
      <c r="B519" s="75" t="s">
        <v>671</v>
      </c>
      <c r="C519" s="211" t="s">
        <v>2635</v>
      </c>
      <c r="D519" s="249"/>
      <c r="E519" s="211" t="s">
        <v>2636</v>
      </c>
      <c r="F519" s="251" t="str">
        <f>IF(wskakunin_20kouzou305_KOUZOUSEKKEI_KOUFU_NO="","",wskakunin_20kouzou305_KOUZOUSEKKEI_KOUFU_NO)</f>
        <v/>
      </c>
    </row>
    <row r="520" spans="1:6" ht="15" customHeight="1">
      <c r="A520" s="50"/>
      <c r="B520" s="75"/>
    </row>
    <row r="521" spans="1:6" s="20" customFormat="1" ht="15" customHeight="1">
      <c r="A521" s="42" t="s">
        <v>833</v>
      </c>
      <c r="B521" s="103"/>
      <c r="C521" s="211"/>
      <c r="D521" s="212"/>
      <c r="E521" s="211"/>
      <c r="F521" s="211"/>
    </row>
    <row r="522" spans="1:6" s="20" customFormat="1" ht="15" customHeight="1">
      <c r="A522" s="104"/>
      <c r="B522" s="75" t="s">
        <v>673</v>
      </c>
      <c r="C522" s="33" t="s">
        <v>834</v>
      </c>
      <c r="D522" s="249"/>
      <c r="E522" s="33" t="s">
        <v>835</v>
      </c>
      <c r="F522" s="252" t="str">
        <f>IF(wskakunin_20setubi101_NAME="","",wskakunin_20setubi101_NAME)</f>
        <v/>
      </c>
    </row>
    <row r="523" spans="1:6" s="20" customFormat="1" ht="15" customHeight="1">
      <c r="A523" s="104"/>
      <c r="B523" s="75" t="s">
        <v>836</v>
      </c>
      <c r="C523" s="33" t="s">
        <v>2574</v>
      </c>
      <c r="D523" s="249"/>
      <c r="E523" s="33" t="s">
        <v>2575</v>
      </c>
      <c r="F523" s="252" t="str">
        <f>IF(wskakunin_20setubi101_SETUBISEKKEI_KOUFU_NO="","",wskakunin_20setubi101_SETUBISEKKEI_KOUFU_NO)</f>
        <v/>
      </c>
    </row>
    <row r="524" spans="1:6" s="20" customFormat="1" ht="15" customHeight="1">
      <c r="A524" s="104"/>
      <c r="B524" s="75" t="s">
        <v>673</v>
      </c>
      <c r="C524" s="33" t="s">
        <v>837</v>
      </c>
      <c r="D524" s="249"/>
      <c r="E524" s="33" t="s">
        <v>838</v>
      </c>
      <c r="F524" s="252" t="str">
        <f>IF(wskakunin_20setubi102_NAME="","",wskakunin_20setubi102_NAME)</f>
        <v/>
      </c>
    </row>
    <row r="525" spans="1:6" s="20" customFormat="1" ht="15" customHeight="1">
      <c r="A525" s="104"/>
      <c r="B525" s="75" t="s">
        <v>836</v>
      </c>
      <c r="C525" s="33" t="s">
        <v>2576</v>
      </c>
      <c r="D525" s="249"/>
      <c r="E525" s="33" t="s">
        <v>2577</v>
      </c>
      <c r="F525" s="252" t="str">
        <f>IF(wskakunin_20setubi102_SETUBISEKKEI_KOUFU_NO="","",wskakunin_20setubi102_SETUBISEKKEI_KOUFU_NO)</f>
        <v/>
      </c>
    </row>
    <row r="526" spans="1:6" s="20" customFormat="1" ht="15" customHeight="1">
      <c r="A526" s="104"/>
      <c r="B526" s="75" t="s">
        <v>673</v>
      </c>
      <c r="C526" s="33" t="s">
        <v>839</v>
      </c>
      <c r="D526" s="249"/>
      <c r="E526" s="33" t="s">
        <v>840</v>
      </c>
      <c r="F526" s="252" t="str">
        <f>IF(wskakunin_20setubi103_NAME="","",wskakunin_20setubi103_NAME)</f>
        <v/>
      </c>
    </row>
    <row r="527" spans="1:6" s="20" customFormat="1" ht="15" customHeight="1">
      <c r="A527" s="104"/>
      <c r="B527" s="75" t="s">
        <v>836</v>
      </c>
      <c r="C527" s="33" t="s">
        <v>2578</v>
      </c>
      <c r="D527" s="249"/>
      <c r="E527" s="33" t="s">
        <v>2579</v>
      </c>
      <c r="F527" s="252" t="str">
        <f>IF(wskakunin_20setubi103_SETUBISEKKEI_KOUFU_NO="","",wskakunin_20setubi103_SETUBISEKKEI_KOUFU_NO)</f>
        <v/>
      </c>
    </row>
    <row r="528" spans="1:6" s="20" customFormat="1" ht="15" customHeight="1">
      <c r="A528" s="104"/>
      <c r="B528" s="75" t="s">
        <v>673</v>
      </c>
      <c r="C528" s="33" t="s">
        <v>2637</v>
      </c>
      <c r="D528" s="249"/>
      <c r="E528" s="33" t="s">
        <v>2638</v>
      </c>
      <c r="F528" s="252" t="str">
        <f>IF(wskakunin_20setubi104_NAME="","",wskakunin_20setubi104_NAME)</f>
        <v/>
      </c>
    </row>
    <row r="529" spans="1:6" s="20" customFormat="1" ht="15" customHeight="1">
      <c r="A529" s="104"/>
      <c r="B529" s="75" t="s">
        <v>836</v>
      </c>
      <c r="C529" s="33" t="s">
        <v>2639</v>
      </c>
      <c r="D529" s="249"/>
      <c r="E529" s="33" t="s">
        <v>2640</v>
      </c>
      <c r="F529" s="252" t="str">
        <f>IF(wskakunin_20setubi104_SETUBISEKKEI_KOUFU_NO="","",wskakunin_20setubi104_SETUBISEKKEI_KOUFU_NO)</f>
        <v/>
      </c>
    </row>
    <row r="530" spans="1:6" s="20" customFormat="1" ht="15" customHeight="1">
      <c r="A530" s="104"/>
      <c r="B530" s="75" t="s">
        <v>673</v>
      </c>
      <c r="C530" s="33" t="s">
        <v>2641</v>
      </c>
      <c r="D530" s="249"/>
      <c r="E530" s="33" t="s">
        <v>2642</v>
      </c>
      <c r="F530" s="252" t="str">
        <f>IF(wskakunin_20setubi105_NAME="","",wskakunin_20setubi105_NAME)</f>
        <v/>
      </c>
    </row>
    <row r="531" spans="1:6" s="20" customFormat="1" ht="15" customHeight="1">
      <c r="A531" s="104"/>
      <c r="B531" s="75" t="s">
        <v>836</v>
      </c>
      <c r="C531" s="33" t="s">
        <v>2643</v>
      </c>
      <c r="D531" s="249"/>
      <c r="E531" s="33" t="s">
        <v>2644</v>
      </c>
      <c r="F531" s="252" t="str">
        <f>IF(wskakunin_20setubi105_SETUBISEKKEI_KOUFU_NO="","",wskakunin_20setubi105_SETUBISEKKEI_KOUFU_NO)</f>
        <v/>
      </c>
    </row>
    <row r="532" spans="1:6" ht="15" customHeight="1">
      <c r="A532" s="50"/>
      <c r="B532" s="75"/>
    </row>
    <row r="533" spans="1:6" s="20" customFormat="1" ht="15" customHeight="1">
      <c r="A533" s="42" t="s">
        <v>841</v>
      </c>
      <c r="B533" s="103"/>
      <c r="C533" s="211"/>
      <c r="D533" s="212"/>
      <c r="E533" s="211"/>
      <c r="F533" s="211"/>
    </row>
    <row r="534" spans="1:6" s="20" customFormat="1" ht="15" customHeight="1">
      <c r="A534" s="104"/>
      <c r="B534" s="75" t="s">
        <v>673</v>
      </c>
      <c r="C534" s="33" t="s">
        <v>842</v>
      </c>
      <c r="D534" s="249"/>
      <c r="E534" s="33" t="s">
        <v>843</v>
      </c>
      <c r="F534" s="252" t="str">
        <f>IF(wskakunin_20setubi301_NAME="","",wskakunin_20setubi301_NAME)</f>
        <v/>
      </c>
    </row>
    <row r="535" spans="1:6" s="20" customFormat="1" ht="15" customHeight="1">
      <c r="A535" s="104"/>
      <c r="B535" s="75" t="s">
        <v>836</v>
      </c>
      <c r="C535" s="33" t="s">
        <v>2580</v>
      </c>
      <c r="D535" s="249"/>
      <c r="E535" s="33" t="s">
        <v>2581</v>
      </c>
      <c r="F535" s="252" t="str">
        <f>IF(wskakunin_20setubi301_SETUBISEKKEI_KOUFU_NO="","",wskakunin_20setubi301_SETUBISEKKEI_KOUFU_NO)</f>
        <v/>
      </c>
    </row>
    <row r="536" spans="1:6" s="20" customFormat="1" ht="15" customHeight="1">
      <c r="A536" s="104"/>
      <c r="B536" s="75" t="s">
        <v>673</v>
      </c>
      <c r="C536" s="33" t="s">
        <v>844</v>
      </c>
      <c r="D536" s="249"/>
      <c r="E536" s="33" t="s">
        <v>845</v>
      </c>
      <c r="F536" s="252" t="str">
        <f>IF(wskakunin_20setubi302_NAME="","",wskakunin_20setubi302_NAME)</f>
        <v/>
      </c>
    </row>
    <row r="537" spans="1:6" s="20" customFormat="1" ht="15" customHeight="1">
      <c r="A537" s="104"/>
      <c r="B537" s="75" t="s">
        <v>836</v>
      </c>
      <c r="C537" s="33" t="s">
        <v>2582</v>
      </c>
      <c r="D537" s="249"/>
      <c r="E537" s="33" t="s">
        <v>2583</v>
      </c>
      <c r="F537" s="252" t="str">
        <f>IF(wskakunin_20setubi302_SETUBISEKKEI_KOUFU_NO="","",wskakunin_20setubi302_SETUBISEKKEI_KOUFU_NO)</f>
        <v/>
      </c>
    </row>
    <row r="538" spans="1:6" s="20" customFormat="1" ht="15" customHeight="1">
      <c r="A538" s="104"/>
      <c r="B538" s="75" t="s">
        <v>673</v>
      </c>
      <c r="C538" s="33" t="s">
        <v>846</v>
      </c>
      <c r="D538" s="249"/>
      <c r="E538" s="33" t="s">
        <v>847</v>
      </c>
      <c r="F538" s="252" t="str">
        <f>IF(wskakunin_20setubi303_NAME="","",wskakunin_20setubi303_NAME)</f>
        <v/>
      </c>
    </row>
    <row r="539" spans="1:6" s="20" customFormat="1" ht="15" customHeight="1">
      <c r="A539" s="104"/>
      <c r="B539" s="75" t="s">
        <v>836</v>
      </c>
      <c r="C539" s="33" t="s">
        <v>2584</v>
      </c>
      <c r="D539" s="249"/>
      <c r="E539" s="33" t="s">
        <v>2585</v>
      </c>
      <c r="F539" s="252" t="str">
        <f>IF(wskakunin_20setubi303_SETUBISEKKEI_KOUFU_NO="","",wskakunin_20setubi303_SETUBISEKKEI_KOUFU_NO)</f>
        <v/>
      </c>
    </row>
    <row r="540" spans="1:6" s="20" customFormat="1" ht="15" customHeight="1">
      <c r="A540" s="104"/>
      <c r="B540" s="75" t="s">
        <v>673</v>
      </c>
      <c r="C540" s="33" t="s">
        <v>2645</v>
      </c>
      <c r="D540" s="249"/>
      <c r="E540" s="33" t="s">
        <v>2646</v>
      </c>
      <c r="F540" s="252" t="str">
        <f>IF(wskakunin_20setubi304_NAME="","",wskakunin_20setubi304_NAME)</f>
        <v/>
      </c>
    </row>
    <row r="541" spans="1:6" s="20" customFormat="1" ht="15" customHeight="1">
      <c r="A541" s="104"/>
      <c r="B541" s="75" t="s">
        <v>836</v>
      </c>
      <c r="C541" s="33" t="s">
        <v>2647</v>
      </c>
      <c r="D541" s="249"/>
      <c r="E541" s="33" t="s">
        <v>2648</v>
      </c>
      <c r="F541" s="252" t="str">
        <f>IF(wskakunin_20setubi304_SETUBISEKKEI_KOUFU_NO="","",wskakunin_20setubi304_SETUBISEKKEI_KOUFU_NO)</f>
        <v/>
      </c>
    </row>
    <row r="542" spans="1:6" s="20" customFormat="1" ht="15" customHeight="1">
      <c r="A542" s="104"/>
      <c r="B542" s="75" t="s">
        <v>673</v>
      </c>
      <c r="C542" s="33" t="s">
        <v>2649</v>
      </c>
      <c r="D542" s="249"/>
      <c r="E542" s="33" t="s">
        <v>2650</v>
      </c>
      <c r="F542" s="252" t="str">
        <f>IF(wskakunin_20setubi305_NAME="","",wskakunin_20setubi305_NAME)</f>
        <v/>
      </c>
    </row>
    <row r="543" spans="1:6" s="20" customFormat="1" ht="15" customHeight="1">
      <c r="A543" s="104"/>
      <c r="B543" s="75" t="s">
        <v>836</v>
      </c>
      <c r="C543" s="33" t="s">
        <v>2651</v>
      </c>
      <c r="D543" s="249"/>
      <c r="E543" s="33" t="s">
        <v>2652</v>
      </c>
      <c r="F543" s="252" t="str">
        <f>IF(wskakunin_20setubi305_SETUBISEKKEI_KOUFU_NO="","",wskakunin_20setubi305_SETUBISEKKEI_KOUFU_NO)</f>
        <v/>
      </c>
    </row>
    <row r="544" spans="1:6" ht="15" customHeight="1">
      <c r="A544" s="51"/>
      <c r="B544" s="76"/>
    </row>
    <row r="545" spans="1:22" s="17" customFormat="1" ht="15" customHeight="1">
      <c r="A545" s="37" t="s">
        <v>641</v>
      </c>
      <c r="B545" s="38"/>
      <c r="C545" s="34"/>
      <c r="D545" s="34"/>
      <c r="E545" s="34"/>
    </row>
    <row r="546" spans="1:22" s="17" customFormat="1" ht="15" customHeight="1">
      <c r="A546" s="40" t="s">
        <v>672</v>
      </c>
      <c r="B546" s="41"/>
      <c r="C546" s="34"/>
      <c r="D546" s="34"/>
      <c r="E546" s="34"/>
    </row>
    <row r="547" spans="1:22" s="35" customFormat="1" ht="15" customHeight="1">
      <c r="A547" s="39"/>
      <c r="B547" s="79" t="s">
        <v>673</v>
      </c>
      <c r="C547" s="14" t="s">
        <v>1416</v>
      </c>
      <c r="D547" s="240"/>
      <c r="E547" s="14" t="s">
        <v>1412</v>
      </c>
      <c r="F547" s="44" t="str">
        <f>IF(wskakunin_iken1_NAME="","",wskakunin_iken1_NAME)</f>
        <v/>
      </c>
      <c r="G547" s="17"/>
    </row>
    <row r="548" spans="1:22" s="35" customFormat="1" ht="15" customHeight="1">
      <c r="A548" s="39"/>
      <c r="B548" s="79" t="s">
        <v>674</v>
      </c>
      <c r="C548" s="14" t="s">
        <v>1417</v>
      </c>
      <c r="D548" s="241"/>
      <c r="E548" s="14" t="s">
        <v>1423</v>
      </c>
      <c r="F548" s="44" t="str">
        <f>IF(wskakunin_iken1_JIMU_NAME="","",wskakunin_iken1_JIMU_NAME)</f>
        <v/>
      </c>
      <c r="G548" s="17"/>
    </row>
    <row r="549" spans="1:22" s="35" customFormat="1" ht="15" customHeight="1">
      <c r="A549" s="39"/>
      <c r="B549" s="79" t="s">
        <v>640</v>
      </c>
      <c r="C549" s="14" t="s">
        <v>1418</v>
      </c>
      <c r="D549" s="241"/>
      <c r="E549" s="14" t="s">
        <v>1424</v>
      </c>
      <c r="F549" s="44" t="str">
        <f>IF(wskakunin_iken1_ZIP="","",wskakunin_iken1_ZIP)</f>
        <v/>
      </c>
      <c r="G549" s="17"/>
      <c r="I549" s="36"/>
      <c r="J549" s="36"/>
      <c r="K549" s="36"/>
      <c r="L549" s="36"/>
      <c r="M549" s="36"/>
      <c r="N549" s="36"/>
      <c r="O549" s="36"/>
      <c r="P549" s="36"/>
      <c r="Q549" s="36"/>
      <c r="R549" s="36"/>
      <c r="S549" s="36"/>
      <c r="T549" s="36"/>
      <c r="U549" s="36"/>
      <c r="V549" s="36"/>
    </row>
    <row r="550" spans="1:22" s="35" customFormat="1" ht="15" customHeight="1">
      <c r="A550" s="39"/>
      <c r="B550" s="79" t="s">
        <v>675</v>
      </c>
      <c r="C550" s="14" t="s">
        <v>1419</v>
      </c>
      <c r="D550" s="241"/>
      <c r="E550" s="14" t="s">
        <v>1413</v>
      </c>
      <c r="F550" s="44" t="str">
        <f>IF(wskakunin_iken1__address="","",wskakunin_iken1__address)</f>
        <v/>
      </c>
      <c r="G550" s="17"/>
      <c r="I550" s="36"/>
      <c r="J550" s="36"/>
      <c r="K550" s="36"/>
      <c r="L550" s="36"/>
      <c r="M550" s="36"/>
      <c r="N550" s="36"/>
      <c r="O550" s="36"/>
      <c r="P550" s="36"/>
      <c r="Q550" s="36"/>
      <c r="R550" s="36"/>
      <c r="S550" s="36"/>
      <c r="T550" s="36"/>
      <c r="U550" s="36"/>
      <c r="V550" s="36"/>
    </row>
    <row r="551" spans="1:22" s="35" customFormat="1" ht="15" customHeight="1">
      <c r="A551" s="39"/>
      <c r="B551" s="79" t="s">
        <v>642</v>
      </c>
      <c r="C551" s="14" t="s">
        <v>1420</v>
      </c>
      <c r="D551" s="241"/>
      <c r="E551" s="14" t="s">
        <v>1414</v>
      </c>
      <c r="F551" s="44" t="str">
        <f>IF(wskakunin_iken1_TEL="","",wskakunin_iken1_TEL)</f>
        <v/>
      </c>
      <c r="G551" s="17"/>
      <c r="I551" s="36"/>
      <c r="J551" s="36"/>
      <c r="K551" s="36"/>
      <c r="L551" s="36"/>
      <c r="M551" s="36"/>
      <c r="N551" s="36"/>
      <c r="O551" s="36"/>
      <c r="P551" s="36"/>
      <c r="Q551" s="36"/>
      <c r="R551" s="36"/>
      <c r="S551" s="36"/>
      <c r="T551" s="36"/>
      <c r="U551" s="36"/>
      <c r="V551" s="36"/>
    </row>
    <row r="552" spans="1:22" s="35" customFormat="1" ht="15" customHeight="1">
      <c r="A552" s="39"/>
      <c r="B552" s="79" t="s">
        <v>643</v>
      </c>
      <c r="C552" s="14" t="s">
        <v>1421</v>
      </c>
      <c r="D552" s="241"/>
      <c r="E552" s="14" t="s">
        <v>1425</v>
      </c>
      <c r="F552" s="44" t="str">
        <f>IF(wskakunin_iken1_IKEN_NO="","",wskakunin_iken1_IKEN_NO)</f>
        <v/>
      </c>
      <c r="G552" s="17"/>
    </row>
    <row r="553" spans="1:22" s="17" customFormat="1" ht="15" customHeight="1">
      <c r="A553" s="37"/>
      <c r="B553" s="80" t="s">
        <v>644</v>
      </c>
      <c r="C553" s="34" t="s">
        <v>1422</v>
      </c>
      <c r="D553" s="240"/>
      <c r="E553" s="34" t="s">
        <v>1415</v>
      </c>
      <c r="F553" s="154" t="str">
        <f>IF(wskakunin_iken1_DOC="","",wskakunin_iken1_DOC)</f>
        <v/>
      </c>
    </row>
    <row r="554" spans="1:22" s="17" customFormat="1" ht="15" customHeight="1">
      <c r="A554" s="37"/>
      <c r="B554" s="81"/>
      <c r="C554" s="34"/>
    </row>
    <row r="555" spans="1:22" s="17" customFormat="1" ht="15" customHeight="1">
      <c r="A555" s="40" t="s">
        <v>676</v>
      </c>
      <c r="B555" s="41"/>
      <c r="C555" s="34"/>
      <c r="D555" s="34"/>
    </row>
    <row r="556" spans="1:22" s="35" customFormat="1" ht="15" customHeight="1">
      <c r="A556" s="39"/>
      <c r="B556" s="79" t="s">
        <v>673</v>
      </c>
      <c r="C556" s="14" t="s">
        <v>1433</v>
      </c>
      <c r="D556" s="253"/>
      <c r="E556" s="14" t="s">
        <v>1426</v>
      </c>
      <c r="F556" s="44" t="str">
        <f>IF(wskakunin_iken2_NAME="","",wskakunin_iken2_NAME)</f>
        <v/>
      </c>
      <c r="G556" s="17"/>
    </row>
    <row r="557" spans="1:22" s="35" customFormat="1" ht="15" customHeight="1">
      <c r="A557" s="39"/>
      <c r="B557" s="79" t="s">
        <v>674</v>
      </c>
      <c r="C557" s="14" t="s">
        <v>1434</v>
      </c>
      <c r="D557" s="253"/>
      <c r="E557" s="14" t="s">
        <v>1430</v>
      </c>
      <c r="F557" s="44" t="str">
        <f>IF(wskakunin_iken2_JIMU_NAME="","",wskakunin_iken2_JIMU_NAME)</f>
        <v/>
      </c>
      <c r="G557" s="17"/>
    </row>
    <row r="558" spans="1:22" s="35" customFormat="1" ht="15" customHeight="1">
      <c r="A558" s="39"/>
      <c r="B558" s="79" t="s">
        <v>640</v>
      </c>
      <c r="C558" s="14" t="s">
        <v>1435</v>
      </c>
      <c r="D558" s="253"/>
      <c r="E558" s="14" t="s">
        <v>1431</v>
      </c>
      <c r="F558" s="44" t="str">
        <f>IF(wskakunin_iken2_ZIP="","",wskakunin_iken2_ZIP)</f>
        <v/>
      </c>
      <c r="G558" s="17"/>
      <c r="I558" s="36"/>
      <c r="J558" s="36"/>
      <c r="K558" s="36"/>
      <c r="L558" s="36"/>
      <c r="M558" s="36"/>
      <c r="N558" s="36"/>
      <c r="O558" s="36"/>
      <c r="P558" s="36"/>
      <c r="Q558" s="36"/>
      <c r="R558" s="36"/>
      <c r="S558" s="36"/>
      <c r="T558" s="36"/>
      <c r="U558" s="36"/>
      <c r="V558" s="36"/>
    </row>
    <row r="559" spans="1:22" s="35" customFormat="1" ht="15" customHeight="1">
      <c r="A559" s="39"/>
      <c r="B559" s="79" t="s">
        <v>675</v>
      </c>
      <c r="C559" s="14" t="s">
        <v>1436</v>
      </c>
      <c r="D559" s="253"/>
      <c r="E559" s="14" t="s">
        <v>1427</v>
      </c>
      <c r="F559" s="44" t="str">
        <f>IF(wskakunin_iken2__address="","",wskakunin_iken2__address)</f>
        <v/>
      </c>
      <c r="G559" s="17"/>
      <c r="I559" s="36"/>
      <c r="J559" s="36"/>
      <c r="K559" s="36"/>
      <c r="L559" s="36"/>
      <c r="M559" s="36"/>
      <c r="N559" s="36"/>
      <c r="O559" s="36"/>
      <c r="P559" s="36"/>
      <c r="Q559" s="36"/>
      <c r="R559" s="36"/>
      <c r="S559" s="36"/>
      <c r="T559" s="36"/>
      <c r="U559" s="36"/>
      <c r="V559" s="36"/>
    </row>
    <row r="560" spans="1:22" s="35" customFormat="1" ht="15" customHeight="1">
      <c r="A560" s="39"/>
      <c r="B560" s="79" t="s">
        <v>642</v>
      </c>
      <c r="C560" s="14" t="s">
        <v>1437</v>
      </c>
      <c r="D560" s="253"/>
      <c r="E560" s="14" t="s">
        <v>1428</v>
      </c>
      <c r="F560" s="44" t="str">
        <f>IF(wskakunin_iken2_TEL="","",wskakunin_iken2_TEL)</f>
        <v/>
      </c>
      <c r="G560" s="17"/>
      <c r="I560" s="36"/>
      <c r="J560" s="36"/>
      <c r="K560" s="36"/>
      <c r="L560" s="36"/>
      <c r="M560" s="36"/>
      <c r="N560" s="36"/>
      <c r="O560" s="36"/>
      <c r="P560" s="36"/>
      <c r="Q560" s="36"/>
      <c r="R560" s="36"/>
      <c r="S560" s="36"/>
      <c r="T560" s="36"/>
      <c r="U560" s="36"/>
      <c r="V560" s="36"/>
    </row>
    <row r="561" spans="1:22" s="35" customFormat="1" ht="15" customHeight="1">
      <c r="A561" s="39"/>
      <c r="B561" s="79" t="s">
        <v>643</v>
      </c>
      <c r="C561" s="14" t="s">
        <v>1438</v>
      </c>
      <c r="D561" s="253"/>
      <c r="E561" s="14" t="s">
        <v>1432</v>
      </c>
      <c r="F561" s="44" t="str">
        <f>IF(wskakunin_iken2_IKEN_NO="","",wskakunin_iken2_IKEN_NO)</f>
        <v/>
      </c>
      <c r="G561" s="17"/>
    </row>
    <row r="562" spans="1:22" s="17" customFormat="1" ht="15" customHeight="1">
      <c r="A562" s="37"/>
      <c r="B562" s="80" t="s">
        <v>644</v>
      </c>
      <c r="C562" s="34" t="s">
        <v>1439</v>
      </c>
      <c r="D562" s="240"/>
      <c r="E562" s="34" t="s">
        <v>1429</v>
      </c>
      <c r="F562" s="154" t="str">
        <f>IF(wskakunin_iken2_DOC="","",wskakunin_iken2_DOC)</f>
        <v/>
      </c>
    </row>
    <row r="563" spans="1:22" s="17" customFormat="1" ht="15" customHeight="1">
      <c r="A563" s="37"/>
      <c r="B563" s="81"/>
      <c r="C563" s="34"/>
      <c r="D563" s="34"/>
    </row>
    <row r="564" spans="1:22" s="17" customFormat="1" ht="15" customHeight="1">
      <c r="A564" s="40" t="s">
        <v>677</v>
      </c>
      <c r="B564" s="41"/>
      <c r="C564" s="34"/>
      <c r="D564" s="34"/>
    </row>
    <row r="565" spans="1:22" s="35" customFormat="1" ht="15" customHeight="1">
      <c r="A565" s="39"/>
      <c r="B565" s="79" t="s">
        <v>673</v>
      </c>
      <c r="C565" s="14" t="s">
        <v>1456</v>
      </c>
      <c r="D565" s="241"/>
      <c r="E565" s="14" t="s">
        <v>1442</v>
      </c>
      <c r="F565" s="44" t="str">
        <f>IF(wskakunin_iken3_NAME="","",wskakunin_iken3_NAME)</f>
        <v/>
      </c>
      <c r="G565" s="17"/>
    </row>
    <row r="566" spans="1:22" s="35" customFormat="1" ht="15" customHeight="1">
      <c r="A566" s="39"/>
      <c r="B566" s="79" t="s">
        <v>674</v>
      </c>
      <c r="C566" s="14" t="s">
        <v>1457</v>
      </c>
      <c r="D566" s="241"/>
      <c r="E566" s="14" t="s">
        <v>1443</v>
      </c>
      <c r="F566" s="44" t="str">
        <f>IF(wskakunin_iken3_JIMU_NAME="","",wskakunin_iken3_JIMU_NAME)</f>
        <v/>
      </c>
      <c r="G566" s="17"/>
    </row>
    <row r="567" spans="1:22" s="35" customFormat="1" ht="15" customHeight="1">
      <c r="A567" s="39"/>
      <c r="B567" s="79" t="s">
        <v>640</v>
      </c>
      <c r="C567" s="14" t="s">
        <v>1458</v>
      </c>
      <c r="D567" s="241"/>
      <c r="E567" s="14" t="s">
        <v>1444</v>
      </c>
      <c r="F567" s="44" t="str">
        <f>IF(wskakunin_iken3_ZIP="","",wskakunin_iken3_ZIP)</f>
        <v/>
      </c>
      <c r="G567" s="17"/>
      <c r="I567" s="36"/>
      <c r="J567" s="36"/>
      <c r="K567" s="36"/>
      <c r="L567" s="36"/>
      <c r="M567" s="36"/>
      <c r="N567" s="36"/>
      <c r="O567" s="36"/>
      <c r="P567" s="36"/>
      <c r="Q567" s="36"/>
      <c r="R567" s="36"/>
      <c r="S567" s="36"/>
      <c r="T567" s="36"/>
      <c r="U567" s="36"/>
      <c r="V567" s="36"/>
    </row>
    <row r="568" spans="1:22" s="35" customFormat="1" ht="15" customHeight="1">
      <c r="A568" s="39"/>
      <c r="B568" s="79" t="s">
        <v>675</v>
      </c>
      <c r="C568" s="14" t="s">
        <v>1459</v>
      </c>
      <c r="D568" s="241"/>
      <c r="E568" s="14" t="s">
        <v>1445</v>
      </c>
      <c r="F568" s="44" t="str">
        <f>IF(wskakunin_iken3__address="","",wskakunin_iken3__address)</f>
        <v/>
      </c>
      <c r="G568" s="17"/>
      <c r="I568" s="36"/>
      <c r="J568" s="36"/>
      <c r="K568" s="36"/>
      <c r="L568" s="36"/>
      <c r="M568" s="36"/>
      <c r="N568" s="36"/>
      <c r="O568" s="36"/>
      <c r="P568" s="36"/>
      <c r="Q568" s="36"/>
      <c r="R568" s="36"/>
      <c r="S568" s="36"/>
      <c r="T568" s="36"/>
      <c r="U568" s="36"/>
      <c r="V568" s="36"/>
    </row>
    <row r="569" spans="1:22" s="35" customFormat="1" ht="15" customHeight="1">
      <c r="A569" s="39"/>
      <c r="B569" s="79" t="s">
        <v>642</v>
      </c>
      <c r="C569" s="14" t="s">
        <v>1460</v>
      </c>
      <c r="D569" s="241"/>
      <c r="E569" s="14" t="s">
        <v>1446</v>
      </c>
      <c r="F569" s="44" t="str">
        <f>IF(wskakunin_iken3_TEL="","",wskakunin_iken3_TEL)</f>
        <v/>
      </c>
      <c r="G569" s="17"/>
      <c r="I569" s="36"/>
      <c r="J569" s="36"/>
      <c r="K569" s="36"/>
      <c r="L569" s="36"/>
      <c r="M569" s="36"/>
      <c r="N569" s="36"/>
      <c r="O569" s="36"/>
      <c r="P569" s="36"/>
      <c r="Q569" s="36"/>
      <c r="R569" s="36"/>
      <c r="S569" s="36"/>
      <c r="T569" s="36"/>
      <c r="U569" s="36"/>
      <c r="V569" s="36"/>
    </row>
    <row r="570" spans="1:22" s="35" customFormat="1" ht="15" customHeight="1">
      <c r="A570" s="39"/>
      <c r="B570" s="79" t="s">
        <v>643</v>
      </c>
      <c r="C570" s="14" t="s">
        <v>1461</v>
      </c>
      <c r="D570" s="241"/>
      <c r="E570" s="14" t="s">
        <v>1447</v>
      </c>
      <c r="F570" s="44" t="str">
        <f>IF(wskakunin_iken3_IKEN_NO="","",wskakunin_iken3_IKEN_NO)</f>
        <v/>
      </c>
      <c r="G570" s="17"/>
    </row>
    <row r="571" spans="1:22" s="17" customFormat="1" ht="15" customHeight="1">
      <c r="A571" s="37"/>
      <c r="B571" s="80" t="s">
        <v>644</v>
      </c>
      <c r="C571" s="34" t="s">
        <v>1462</v>
      </c>
      <c r="D571" s="240"/>
      <c r="E571" s="34" t="s">
        <v>1448</v>
      </c>
      <c r="F571" s="154" t="str">
        <f>IF(wskakunin_iken3_DOC="","",wskakunin_iken3_DOC)</f>
        <v/>
      </c>
    </row>
    <row r="572" spans="1:22" s="17" customFormat="1" ht="15" customHeight="1">
      <c r="A572" s="37"/>
      <c r="B572" s="81"/>
      <c r="C572" s="34"/>
      <c r="D572" s="34"/>
    </row>
    <row r="573" spans="1:22" s="17" customFormat="1" ht="15" customHeight="1">
      <c r="A573" s="40" t="s">
        <v>678</v>
      </c>
      <c r="B573" s="41"/>
      <c r="C573" s="34"/>
      <c r="D573" s="34"/>
    </row>
    <row r="574" spans="1:22" s="35" customFormat="1" ht="15" customHeight="1">
      <c r="A574" s="39"/>
      <c r="B574" s="79" t="s">
        <v>673</v>
      </c>
      <c r="C574" s="14" t="s">
        <v>1463</v>
      </c>
      <c r="D574" s="241"/>
      <c r="E574" s="14" t="s">
        <v>1449</v>
      </c>
      <c r="F574" s="44" t="str">
        <f>IF(wskakunin_iken4_NAME="","",wskakunin_iken4_NAME)</f>
        <v/>
      </c>
      <c r="G574" s="17"/>
    </row>
    <row r="575" spans="1:22" s="35" customFormat="1" ht="15" customHeight="1">
      <c r="A575" s="39"/>
      <c r="B575" s="79" t="s">
        <v>674</v>
      </c>
      <c r="C575" s="14" t="s">
        <v>1464</v>
      </c>
      <c r="D575" s="241"/>
      <c r="E575" s="14" t="s">
        <v>1450</v>
      </c>
      <c r="F575" s="44" t="str">
        <f>IF(wskakunin_iken4_JIMU_NAME="","",wskakunin_iken4_JIMU_NAME)</f>
        <v/>
      </c>
      <c r="G575" s="17"/>
    </row>
    <row r="576" spans="1:22" s="35" customFormat="1" ht="15" customHeight="1">
      <c r="A576" s="39"/>
      <c r="B576" s="79" t="s">
        <v>640</v>
      </c>
      <c r="C576" s="14" t="s">
        <v>1465</v>
      </c>
      <c r="D576" s="241"/>
      <c r="E576" s="14" t="s">
        <v>1451</v>
      </c>
      <c r="F576" s="44" t="str">
        <f>IF(wskakunin_iken4_ZIP="","",wskakunin_iken4_ZIP)</f>
        <v/>
      </c>
      <c r="G576" s="17"/>
      <c r="I576" s="36"/>
      <c r="J576" s="36"/>
      <c r="K576" s="36"/>
      <c r="L576" s="36"/>
      <c r="M576" s="36"/>
      <c r="N576" s="36"/>
      <c r="O576" s="36"/>
      <c r="P576" s="36"/>
      <c r="Q576" s="36"/>
      <c r="R576" s="36"/>
      <c r="S576" s="36"/>
      <c r="T576" s="36"/>
      <c r="U576" s="36"/>
      <c r="V576" s="36"/>
    </row>
    <row r="577" spans="1:22" s="35" customFormat="1" ht="15" customHeight="1">
      <c r="A577" s="39"/>
      <c r="B577" s="79" t="s">
        <v>675</v>
      </c>
      <c r="C577" s="14" t="s">
        <v>1466</v>
      </c>
      <c r="D577" s="241"/>
      <c r="E577" s="14" t="s">
        <v>1452</v>
      </c>
      <c r="F577" s="44" t="str">
        <f>IF(wskakunin_iken4__address="","",wskakunin_iken4__address)</f>
        <v/>
      </c>
      <c r="G577" s="17"/>
      <c r="I577" s="36"/>
      <c r="J577" s="36"/>
      <c r="K577" s="36"/>
      <c r="L577" s="36"/>
      <c r="M577" s="36"/>
      <c r="N577" s="36"/>
      <c r="O577" s="36"/>
      <c r="P577" s="36"/>
      <c r="Q577" s="36"/>
      <c r="R577" s="36"/>
      <c r="S577" s="36"/>
      <c r="T577" s="36"/>
      <c r="U577" s="36"/>
      <c r="V577" s="36"/>
    </row>
    <row r="578" spans="1:22" s="35" customFormat="1" ht="15" customHeight="1">
      <c r="A578" s="39"/>
      <c r="B578" s="79" t="s">
        <v>642</v>
      </c>
      <c r="C578" s="14" t="s">
        <v>1467</v>
      </c>
      <c r="D578" s="241"/>
      <c r="E578" s="14" t="s">
        <v>1453</v>
      </c>
      <c r="F578" s="44" t="str">
        <f>IF(wskakunin_iken4_TEL="","",wskakunin_iken4_TEL)</f>
        <v/>
      </c>
      <c r="G578" s="17"/>
      <c r="I578" s="36"/>
      <c r="J578" s="36"/>
      <c r="K578" s="36"/>
      <c r="L578" s="36"/>
      <c r="M578" s="36"/>
      <c r="N578" s="36"/>
      <c r="O578" s="36"/>
      <c r="P578" s="36"/>
      <c r="Q578" s="36"/>
      <c r="R578" s="36"/>
      <c r="S578" s="36"/>
      <c r="T578" s="36"/>
      <c r="U578" s="36"/>
      <c r="V578" s="36"/>
    </row>
    <row r="579" spans="1:22" s="35" customFormat="1" ht="15" customHeight="1">
      <c r="A579" s="39"/>
      <c r="B579" s="79" t="s">
        <v>643</v>
      </c>
      <c r="C579" s="14" t="s">
        <v>1468</v>
      </c>
      <c r="D579" s="241"/>
      <c r="E579" s="14" t="s">
        <v>1454</v>
      </c>
      <c r="F579" s="44" t="str">
        <f>IF(wskakunin_iken4_IKEN_NO="","",wskakunin_iken4_IKEN_NO)</f>
        <v/>
      </c>
      <c r="G579" s="17"/>
    </row>
    <row r="580" spans="1:22" s="17" customFormat="1" ht="15" customHeight="1">
      <c r="A580" s="37"/>
      <c r="B580" s="80" t="s">
        <v>644</v>
      </c>
      <c r="C580" s="34" t="s">
        <v>1469</v>
      </c>
      <c r="D580" s="240"/>
      <c r="E580" s="34" t="s">
        <v>1455</v>
      </c>
      <c r="F580" s="154" t="str">
        <f>IF(wskakunin_iken4_DOC="","",wskakunin_iken4_DOC)</f>
        <v/>
      </c>
    </row>
    <row r="581" spans="1:22" s="17" customFormat="1" ht="15" customHeight="1">
      <c r="A581" s="40" t="s">
        <v>2681</v>
      </c>
      <c r="B581" s="214"/>
      <c r="C581" s="33"/>
      <c r="D581" s="33"/>
      <c r="E581" s="33"/>
      <c r="F581" s="33"/>
    </row>
    <row r="582" spans="1:22" s="17" customFormat="1" ht="15" customHeight="1">
      <c r="A582" s="39"/>
      <c r="B582" s="79" t="s">
        <v>673</v>
      </c>
      <c r="C582" s="14" t="s">
        <v>2682</v>
      </c>
      <c r="D582" s="241"/>
      <c r="E582" s="33" t="s">
        <v>2683</v>
      </c>
      <c r="F582" s="154" t="str">
        <f>IF(wskakunin_iken5_NAME="","",wskakunin_iken5_NAME)</f>
        <v/>
      </c>
    </row>
    <row r="583" spans="1:22" s="17" customFormat="1" ht="15" customHeight="1">
      <c r="A583" s="39"/>
      <c r="B583" s="79" t="s">
        <v>674</v>
      </c>
      <c r="C583" s="14" t="s">
        <v>2684</v>
      </c>
      <c r="D583" s="241"/>
      <c r="E583" s="33" t="s">
        <v>2685</v>
      </c>
      <c r="F583" s="154" t="str">
        <f>IF(wskakunin_iken5_JIMU_NAME="","",wskakunin_iken5_JIMU_NAME)</f>
        <v/>
      </c>
    </row>
    <row r="584" spans="1:22" s="17" customFormat="1" ht="15" customHeight="1">
      <c r="A584" s="39"/>
      <c r="B584" s="79" t="s">
        <v>640</v>
      </c>
      <c r="C584" s="14" t="s">
        <v>2686</v>
      </c>
      <c r="D584" s="241"/>
      <c r="E584" s="33" t="s">
        <v>2687</v>
      </c>
      <c r="F584" s="154" t="str">
        <f>IF(wskakunin_iken5_ZIP="","",wskakunin_iken5_ZIP)</f>
        <v/>
      </c>
    </row>
    <row r="585" spans="1:22" s="17" customFormat="1" ht="15" customHeight="1">
      <c r="A585" s="39"/>
      <c r="B585" s="79" t="s">
        <v>675</v>
      </c>
      <c r="C585" s="14" t="s">
        <v>2688</v>
      </c>
      <c r="D585" s="241"/>
      <c r="E585" s="33" t="s">
        <v>2689</v>
      </c>
      <c r="F585" s="154" t="str">
        <f>IF(wskakunin_iken5__address="","",wskakunin_iken5__address)</f>
        <v/>
      </c>
    </row>
    <row r="586" spans="1:22" s="17" customFormat="1" ht="15" customHeight="1">
      <c r="A586" s="39"/>
      <c r="B586" s="79" t="s">
        <v>642</v>
      </c>
      <c r="C586" s="14" t="s">
        <v>2690</v>
      </c>
      <c r="D586" s="241"/>
      <c r="E586" s="33" t="s">
        <v>2691</v>
      </c>
      <c r="F586" s="154" t="str">
        <f>IF(wskakunin_iken5_TEL="","",wskakunin_iken5_TEL)</f>
        <v/>
      </c>
    </row>
    <row r="587" spans="1:22" s="17" customFormat="1" ht="15" customHeight="1">
      <c r="A587" s="39"/>
      <c r="B587" s="79" t="s">
        <v>643</v>
      </c>
      <c r="C587" s="14" t="s">
        <v>2692</v>
      </c>
      <c r="D587" s="241"/>
      <c r="E587" s="33" t="s">
        <v>2693</v>
      </c>
      <c r="F587" s="154" t="str">
        <f>IF(wskakunin_iken5_IKEN_NO="","",wskakunin_iken5_IKEN_NO)</f>
        <v/>
      </c>
    </row>
    <row r="588" spans="1:22" s="17" customFormat="1" ht="15" customHeight="1">
      <c r="A588" s="37"/>
      <c r="B588" s="80" t="s">
        <v>644</v>
      </c>
      <c r="C588" s="34" t="s">
        <v>2694</v>
      </c>
      <c r="D588" s="241"/>
      <c r="E588" s="33" t="s">
        <v>2695</v>
      </c>
      <c r="F588" s="154" t="str">
        <f>IF(wskakunin_iken5_DOC="","",wskakunin_iken5_DOC)</f>
        <v/>
      </c>
    </row>
    <row r="589" spans="1:22" s="33" customFormat="1" ht="15" customHeight="1">
      <c r="A589" s="215"/>
      <c r="B589" s="81"/>
      <c r="G589" s="17"/>
    </row>
    <row r="590" spans="1:22" ht="15" customHeight="1">
      <c r="A590" s="1" t="s">
        <v>686</v>
      </c>
      <c r="B590" s="44" t="s">
        <v>848</v>
      </c>
      <c r="G590" s="17"/>
      <c r="H590" s="17"/>
    </row>
    <row r="591" spans="1:22" ht="15" customHeight="1">
      <c r="A591" s="27"/>
      <c r="B591" s="72" t="s">
        <v>627</v>
      </c>
      <c r="C591" s="14" t="s">
        <v>849</v>
      </c>
      <c r="D591" s="154" t="s">
        <v>3278</v>
      </c>
      <c r="E591" s="14" t="s">
        <v>850</v>
      </c>
      <c r="F591" s="154" t="str">
        <f>IF(wskakunin_kanri1__sikaku="", "", wskakunin_kanri1__sikaku)</f>
        <v>二級建築士静岡県知事登録第20124号</v>
      </c>
      <c r="G591" s="17"/>
      <c r="H591" s="17"/>
    </row>
    <row r="592" spans="1:22" ht="15" customHeight="1">
      <c r="A592" s="27"/>
      <c r="B592" s="72" t="s">
        <v>628</v>
      </c>
      <c r="C592" s="14" t="s">
        <v>851</v>
      </c>
      <c r="D592" s="154" t="s">
        <v>204</v>
      </c>
      <c r="E592" s="14" t="s">
        <v>1476</v>
      </c>
      <c r="F592" s="154" t="str">
        <f>IF(wskakunin_kanri1_SIKAKU__label="", "", wskakunin_kanri1_SIKAKU__label)</f>
        <v>二級</v>
      </c>
      <c r="G592" s="17"/>
      <c r="H592" s="17"/>
    </row>
    <row r="593" spans="1:8" ht="15" customHeight="1">
      <c r="A593" s="32"/>
      <c r="B593" s="78" t="s">
        <v>623</v>
      </c>
      <c r="C593" s="14" t="s">
        <v>1404</v>
      </c>
      <c r="D593" s="154" t="s">
        <v>333</v>
      </c>
      <c r="E593" s="14" t="s">
        <v>852</v>
      </c>
      <c r="F593" s="154" t="str">
        <f>IF(wskakunin_kanri1_TOUROKU_KIKAN__label="","",wskakunin_kanri1_TOUROKU_KIKAN__label)</f>
        <v>静岡県知事</v>
      </c>
      <c r="G593" s="17"/>
      <c r="H593" s="17"/>
    </row>
    <row r="594" spans="1:8" ht="15" customHeight="1">
      <c r="A594" s="32"/>
      <c r="B594" s="78" t="s">
        <v>624</v>
      </c>
      <c r="C594" s="14" t="s">
        <v>853</v>
      </c>
      <c r="D594" s="240" t="s">
        <v>3279</v>
      </c>
      <c r="E594" s="14" t="s">
        <v>854</v>
      </c>
      <c r="F594" s="154" t="str">
        <f>IF(wskakunin_kanri1_KENTIKUSI_NO="","",wskakunin_kanri1_KENTIKUSI_NO)</f>
        <v>20124</v>
      </c>
      <c r="G594" s="17"/>
      <c r="H594" s="17"/>
    </row>
    <row r="595" spans="1:8" ht="15" customHeight="1">
      <c r="A595" s="60"/>
      <c r="B595" s="72" t="s">
        <v>11</v>
      </c>
      <c r="C595" s="14" t="s">
        <v>855</v>
      </c>
      <c r="D595" s="154" t="s">
        <v>3280</v>
      </c>
      <c r="E595" s="14" t="s">
        <v>856</v>
      </c>
      <c r="F595" s="154" t="str">
        <f>IF(wskakunin_kanri1_NAME="", "", wskakunin_kanri1_NAME)</f>
        <v>川口　賢二</v>
      </c>
      <c r="G595" s="17"/>
      <c r="H595" s="17"/>
    </row>
    <row r="596" spans="1:8" ht="15" customHeight="1">
      <c r="A596" s="60"/>
      <c r="B596" s="72" t="s">
        <v>629</v>
      </c>
      <c r="C596" s="14" t="s">
        <v>857</v>
      </c>
      <c r="D596" s="154" t="s">
        <v>3270</v>
      </c>
      <c r="E596" s="14" t="s">
        <v>858</v>
      </c>
      <c r="F596" s="154" t="str">
        <f>IF(wskakunin_kanri1_JIMU__sikaku="", "", wskakunin_kanri1_JIMU__sikaku)</f>
        <v>一級建築士事務所静岡県知事登録第(6)4774号</v>
      </c>
      <c r="G596" s="17"/>
      <c r="H596" s="17"/>
    </row>
    <row r="597" spans="1:8" ht="15" customHeight="1">
      <c r="A597" s="44"/>
      <c r="B597" s="78" t="s">
        <v>121</v>
      </c>
      <c r="C597" s="14" t="s">
        <v>859</v>
      </c>
      <c r="D597" s="154" t="s">
        <v>203</v>
      </c>
      <c r="E597" s="14" t="s">
        <v>1477</v>
      </c>
      <c r="F597" s="154" t="str">
        <f>IF(wskakunin_kanri1_JIMU_SIKAKU__label="","",wskakunin_kanri1_JIMU_SIKAKU__label)</f>
        <v>一級</v>
      </c>
      <c r="G597" s="17"/>
      <c r="H597" s="17"/>
    </row>
    <row r="598" spans="1:8" ht="15" customHeight="1">
      <c r="A598" s="44"/>
      <c r="B598" s="78" t="s">
        <v>630</v>
      </c>
      <c r="C598" s="14" t="s">
        <v>1405</v>
      </c>
      <c r="D598" s="154" t="s">
        <v>3265</v>
      </c>
      <c r="E598" s="14" t="s">
        <v>860</v>
      </c>
      <c r="F598" s="154" t="str">
        <f>IF(wskakunin_kanri1_JIMU_TOUROKU_KIKAN__label="","",wskakunin_kanri1_JIMU_TOUROKU_KIKAN__label)</f>
        <v>静岡県</v>
      </c>
      <c r="G598" s="17"/>
      <c r="H598" s="17"/>
    </row>
    <row r="599" spans="1:8" ht="15" customHeight="1">
      <c r="A599" s="44"/>
      <c r="B599" s="78" t="s">
        <v>631</v>
      </c>
      <c r="C599" s="14" t="s">
        <v>861</v>
      </c>
      <c r="D599" s="154" t="s">
        <v>3272</v>
      </c>
      <c r="E599" s="14" t="s">
        <v>862</v>
      </c>
      <c r="F599" s="154" t="str">
        <f>IF(wskakunin_kanri1_JIMU_NO="","",wskakunin_kanri1_JIMU_NO)</f>
        <v>(6)4774</v>
      </c>
      <c r="G599" s="17"/>
      <c r="H599" s="17"/>
    </row>
    <row r="600" spans="1:8" ht="15" customHeight="1">
      <c r="A600" s="60"/>
      <c r="B600" s="72" t="s">
        <v>122</v>
      </c>
      <c r="C600" s="14" t="s">
        <v>863</v>
      </c>
      <c r="D600" s="154" t="s">
        <v>3271</v>
      </c>
      <c r="E600" s="14" t="s">
        <v>864</v>
      </c>
      <c r="F600" s="154" t="str">
        <f>IF(wskakunin_kanri1_JIMU_NAME="", "", wskakunin_kanri1_JIMU_NAME)</f>
        <v>株式会社山田工務店　一級建築士事務所</v>
      </c>
      <c r="G600" s="17"/>
      <c r="H600" s="17"/>
    </row>
    <row r="601" spans="1:8" ht="15" customHeight="1">
      <c r="A601" s="60"/>
      <c r="B601" s="72" t="s">
        <v>12</v>
      </c>
      <c r="C601" s="14" t="s">
        <v>865</v>
      </c>
      <c r="D601" s="240" t="s">
        <v>3276</v>
      </c>
      <c r="E601" s="14" t="s">
        <v>866</v>
      </c>
      <c r="F601" s="154" t="str">
        <f>IF(wskakunin_kanri1_ZIP="", "", wskakunin_kanri1_ZIP)</f>
        <v>425-0074</v>
      </c>
      <c r="G601" s="17"/>
      <c r="H601" s="17"/>
    </row>
    <row r="602" spans="1:8" ht="15" customHeight="1">
      <c r="A602" s="60"/>
      <c r="B602" s="72"/>
      <c r="E602" s="14" t="s">
        <v>2748</v>
      </c>
      <c r="F602" s="154" t="str">
        <f>IF(wskakunin_kanri1_ZIP="","",LEFT(wskakunin_kanri1_ZIP,3)&amp;RIGHT(wskakunin_kanri1_ZIP,4))</f>
        <v>4250074</v>
      </c>
      <c r="G602" s="17"/>
      <c r="H602" s="17"/>
    </row>
    <row r="603" spans="1:8" ht="15" customHeight="1">
      <c r="A603" s="60"/>
      <c r="B603" s="72" t="s">
        <v>17</v>
      </c>
      <c r="C603" s="14" t="s">
        <v>867</v>
      </c>
      <c r="D603" s="154" t="s">
        <v>3268</v>
      </c>
      <c r="E603" s="14" t="s">
        <v>868</v>
      </c>
      <c r="F603" s="154" t="str">
        <f>IF(wskakunin_kanri1__address="", "", wskakunin_kanri1__address)</f>
        <v>静岡県焼津市柳新屋648-2</v>
      </c>
      <c r="G603" s="17"/>
      <c r="H603" s="17"/>
    </row>
    <row r="604" spans="1:8" ht="15" customHeight="1">
      <c r="A604" s="60"/>
      <c r="B604" s="72" t="s">
        <v>14</v>
      </c>
      <c r="C604" s="14" t="s">
        <v>869</v>
      </c>
      <c r="D604" s="240" t="s">
        <v>3275</v>
      </c>
      <c r="E604" s="14" t="s">
        <v>870</v>
      </c>
      <c r="F604" s="154" t="str">
        <f>IF(wskakunin_kanri1_TEL="", "", wskakunin_kanri1_TEL)</f>
        <v>054-621-5656</v>
      </c>
      <c r="G604" s="17"/>
      <c r="H604" s="17"/>
    </row>
    <row r="605" spans="1:8" ht="15" customHeight="1">
      <c r="A605" s="60"/>
      <c r="B605" s="72" t="s">
        <v>666</v>
      </c>
      <c r="C605" s="14" t="s">
        <v>871</v>
      </c>
      <c r="D605" s="240" t="s">
        <v>570</v>
      </c>
      <c r="E605" s="14" t="s">
        <v>872</v>
      </c>
      <c r="F605" s="154" t="str">
        <f>IF(wskakunin_kanri1_DOC="","",wskakunin_kanri1_DOC)</f>
        <v>設計図書一式</v>
      </c>
      <c r="G605" s="17"/>
      <c r="H605" s="17"/>
    </row>
    <row r="606" spans="1:8" ht="15" customHeight="1">
      <c r="A606" s="44"/>
      <c r="B606" s="75"/>
      <c r="G606" s="17"/>
      <c r="H606" s="17"/>
    </row>
    <row r="607" spans="1:8" ht="15" customHeight="1">
      <c r="A607" s="45" t="s">
        <v>687</v>
      </c>
      <c r="B607" s="44" t="s">
        <v>1977</v>
      </c>
      <c r="G607" s="17"/>
      <c r="H607" s="17"/>
    </row>
    <row r="608" spans="1:8" ht="15" customHeight="1">
      <c r="A608" s="27"/>
      <c r="B608" s="72" t="s">
        <v>627</v>
      </c>
      <c r="C608" s="14" t="s">
        <v>873</v>
      </c>
      <c r="D608" s="154"/>
      <c r="E608" s="14" t="s">
        <v>874</v>
      </c>
      <c r="F608" s="154" t="str">
        <f>IF(wskakunin_kanri2__sikaku="", "", wskakunin_kanri2__sikaku)</f>
        <v/>
      </c>
      <c r="G608" s="17"/>
      <c r="H608" s="17"/>
    </row>
    <row r="609" spans="1:8" ht="15" customHeight="1">
      <c r="A609" s="27"/>
      <c r="B609" s="72" t="s">
        <v>628</v>
      </c>
      <c r="C609" s="14" t="s">
        <v>875</v>
      </c>
      <c r="D609" s="154"/>
      <c r="E609" s="14" t="s">
        <v>1478</v>
      </c>
      <c r="F609" s="154" t="str">
        <f>IF(wskakunin_kanri2_SIKAKU__label="", "", wskakunin_kanri2_SIKAKU__label)</f>
        <v/>
      </c>
      <c r="G609" s="17"/>
      <c r="H609" s="17"/>
    </row>
    <row r="610" spans="1:8" ht="15" customHeight="1">
      <c r="A610" s="32"/>
      <c r="B610" s="78" t="s">
        <v>623</v>
      </c>
      <c r="C610" s="14" t="s">
        <v>1406</v>
      </c>
      <c r="D610" s="154"/>
      <c r="E610" s="14" t="s">
        <v>876</v>
      </c>
      <c r="F610" s="154" t="str">
        <f>IF(wskakunin_kanri2_TOUROKU_KIKAN__label="","",wskakunin_kanri2_TOUROKU_KIKAN__label)</f>
        <v/>
      </c>
      <c r="G610" s="17"/>
      <c r="H610" s="17"/>
    </row>
    <row r="611" spans="1:8" ht="15" customHeight="1">
      <c r="A611" s="32"/>
      <c r="B611" s="78" t="s">
        <v>624</v>
      </c>
      <c r="C611" s="14" t="s">
        <v>877</v>
      </c>
      <c r="D611" s="240"/>
      <c r="E611" s="14" t="s">
        <v>878</v>
      </c>
      <c r="F611" s="154" t="str">
        <f>IF(wskakunin_kanri2_KENTIKUSI_NO="","",wskakunin_kanri2_KENTIKUSI_NO)</f>
        <v/>
      </c>
      <c r="G611" s="17"/>
      <c r="H611" s="17"/>
    </row>
    <row r="612" spans="1:8" ht="15" customHeight="1">
      <c r="A612" s="60"/>
      <c r="B612" s="72" t="s">
        <v>11</v>
      </c>
      <c r="C612" s="14" t="s">
        <v>879</v>
      </c>
      <c r="D612" s="154"/>
      <c r="E612" s="14" t="s">
        <v>880</v>
      </c>
      <c r="F612" s="154" t="str">
        <f>IF(wskakunin_kanri2_NAME="", "", wskakunin_kanri2_NAME)</f>
        <v/>
      </c>
      <c r="G612" s="17"/>
      <c r="H612" s="17"/>
    </row>
    <row r="613" spans="1:8" ht="15" customHeight="1">
      <c r="A613" s="60"/>
      <c r="B613" s="72" t="s">
        <v>629</v>
      </c>
      <c r="C613" s="14" t="s">
        <v>881</v>
      </c>
      <c r="D613" s="154"/>
      <c r="E613" s="14" t="s">
        <v>882</v>
      </c>
      <c r="F613" s="154" t="str">
        <f>IF(wskakunin_kanri2_JIMU__sikaku="", "", wskakunin_kanri2_JIMU__sikaku)</f>
        <v/>
      </c>
      <c r="G613" s="17"/>
      <c r="H613" s="17"/>
    </row>
    <row r="614" spans="1:8" ht="15" customHeight="1">
      <c r="A614" s="44"/>
      <c r="B614" s="78" t="s">
        <v>121</v>
      </c>
      <c r="C614" s="14" t="s">
        <v>883</v>
      </c>
      <c r="D614" s="154"/>
      <c r="E614" s="14" t="s">
        <v>1479</v>
      </c>
      <c r="F614" s="154" t="str">
        <f>IF(wskakunin_kanri2_JIMU_SIKAKU__label="","",wskakunin_kanri2_JIMU_SIKAKU__label)</f>
        <v/>
      </c>
      <c r="G614" s="17"/>
      <c r="H614" s="17"/>
    </row>
    <row r="615" spans="1:8" ht="15" customHeight="1">
      <c r="A615" s="44"/>
      <c r="B615" s="78" t="s">
        <v>630</v>
      </c>
      <c r="C615" s="14" t="s">
        <v>1407</v>
      </c>
      <c r="D615" s="154"/>
      <c r="E615" s="14" t="s">
        <v>884</v>
      </c>
      <c r="F615" s="154" t="str">
        <f>IF(wskakunin_kanri2_JIMU_TOUROKU_KIKAN__label="","",wskakunin_kanri2_JIMU_TOUROKU_KIKAN__label)</f>
        <v/>
      </c>
      <c r="G615" s="17"/>
      <c r="H615" s="17"/>
    </row>
    <row r="616" spans="1:8" ht="15" customHeight="1">
      <c r="A616" s="44"/>
      <c r="B616" s="78" t="s">
        <v>631</v>
      </c>
      <c r="C616" s="14" t="s">
        <v>885</v>
      </c>
      <c r="D616" s="240"/>
      <c r="E616" s="14" t="s">
        <v>886</v>
      </c>
      <c r="F616" s="154" t="str">
        <f>IF(wskakunin_kanri2_JIMU_NO="","",wskakunin_kanri2_JIMU_NO)</f>
        <v/>
      </c>
      <c r="G616" s="17"/>
      <c r="H616" s="17"/>
    </row>
    <row r="617" spans="1:8" ht="15" customHeight="1">
      <c r="A617" s="60"/>
      <c r="B617" s="72" t="s">
        <v>122</v>
      </c>
      <c r="C617" s="14" t="s">
        <v>887</v>
      </c>
      <c r="D617" s="154"/>
      <c r="E617" s="14" t="s">
        <v>888</v>
      </c>
      <c r="F617" s="154" t="str">
        <f>IF(wskakunin_kanri2_JIMU_NAME="", "", wskakunin_kanri2_JIMU_NAME)</f>
        <v/>
      </c>
      <c r="G617" s="17"/>
      <c r="H617" s="17"/>
    </row>
    <row r="618" spans="1:8" ht="15" customHeight="1">
      <c r="A618" s="60"/>
      <c r="B618" s="72" t="s">
        <v>12</v>
      </c>
      <c r="C618" s="14" t="s">
        <v>889</v>
      </c>
      <c r="D618" s="240"/>
      <c r="E618" s="14" t="s">
        <v>890</v>
      </c>
      <c r="F618" s="154" t="str">
        <f>IF(wskakunin_kanri2_ZIP="", "", wskakunin_kanri2_ZIP)</f>
        <v/>
      </c>
      <c r="G618" s="17"/>
      <c r="H618" s="17"/>
    </row>
    <row r="619" spans="1:8" ht="15" customHeight="1">
      <c r="A619" s="60"/>
      <c r="B619" s="72" t="s">
        <v>17</v>
      </c>
      <c r="C619" s="14" t="s">
        <v>891</v>
      </c>
      <c r="D619" s="154"/>
      <c r="E619" s="14" t="s">
        <v>892</v>
      </c>
      <c r="F619" s="154" t="str">
        <f>IF(wskakunin_kanri2__address="", "", wskakunin_kanri2__address)</f>
        <v/>
      </c>
      <c r="G619" s="17"/>
      <c r="H619" s="17"/>
    </row>
    <row r="620" spans="1:8" ht="15" customHeight="1">
      <c r="A620" s="60"/>
      <c r="B620" s="72" t="s">
        <v>14</v>
      </c>
      <c r="C620" s="14" t="s">
        <v>893</v>
      </c>
      <c r="D620" s="240"/>
      <c r="E620" s="14" t="s">
        <v>894</v>
      </c>
      <c r="F620" s="154" t="str">
        <f>IF(wskakunin_kanri2_TEL="", "", wskakunin_kanri2_TEL)</f>
        <v/>
      </c>
      <c r="G620" s="17"/>
      <c r="H620" s="17"/>
    </row>
    <row r="621" spans="1:8" ht="15" customHeight="1">
      <c r="A621" s="60"/>
      <c r="B621" s="72" t="s">
        <v>666</v>
      </c>
      <c r="C621" s="14" t="s">
        <v>895</v>
      </c>
      <c r="D621" s="240"/>
      <c r="E621" s="14" t="s">
        <v>896</v>
      </c>
      <c r="F621" s="154" t="str">
        <f>IF(wskakunin_kanri2_DOC="","",wskakunin_kanri2_DOC)</f>
        <v/>
      </c>
      <c r="G621" s="17"/>
      <c r="H621" s="17"/>
    </row>
    <row r="622" spans="1:8" ht="15" customHeight="1">
      <c r="A622" s="105"/>
      <c r="B622" s="75"/>
      <c r="G622" s="17"/>
      <c r="H622" s="17"/>
    </row>
    <row r="623" spans="1:8" ht="15" customHeight="1">
      <c r="A623" s="45" t="s">
        <v>688</v>
      </c>
      <c r="B623" s="44" t="s">
        <v>1977</v>
      </c>
      <c r="G623" s="17"/>
      <c r="H623" s="17"/>
    </row>
    <row r="624" spans="1:8" ht="15" customHeight="1">
      <c r="A624" s="27"/>
      <c r="B624" s="72" t="s">
        <v>627</v>
      </c>
      <c r="C624" s="14" t="s">
        <v>897</v>
      </c>
      <c r="D624" s="154"/>
      <c r="E624" s="14" t="s">
        <v>898</v>
      </c>
      <c r="F624" s="154" t="str">
        <f>IF(wskakunin_kanri3__sikaku="", "", wskakunin_kanri3__sikaku)</f>
        <v/>
      </c>
      <c r="G624" s="17"/>
      <c r="H624" s="17"/>
    </row>
    <row r="625" spans="1:8" ht="15" customHeight="1">
      <c r="A625" s="27"/>
      <c r="B625" s="72" t="s">
        <v>628</v>
      </c>
      <c r="C625" s="14" t="s">
        <v>899</v>
      </c>
      <c r="D625" s="154"/>
      <c r="E625" s="14" t="s">
        <v>1480</v>
      </c>
      <c r="F625" s="154" t="str">
        <f>IF(wskakunin_kanri3_SIKAKU__label="", "", wskakunin_kanri3_SIKAKU__label)</f>
        <v/>
      </c>
      <c r="G625" s="17"/>
      <c r="H625" s="17"/>
    </row>
    <row r="626" spans="1:8" ht="15" customHeight="1">
      <c r="A626" s="32"/>
      <c r="B626" s="78" t="s">
        <v>623</v>
      </c>
      <c r="C626" s="14" t="s">
        <v>1408</v>
      </c>
      <c r="D626" s="154"/>
      <c r="E626" s="14" t="s">
        <v>900</v>
      </c>
      <c r="F626" s="154" t="str">
        <f>IF(wskakunin_kanri3_TOUROKU_KIKAN__label="","",wskakunin_kanri3_TOUROKU_KIKAN__label)</f>
        <v/>
      </c>
      <c r="G626" s="17"/>
      <c r="H626" s="17"/>
    </row>
    <row r="627" spans="1:8" ht="15" customHeight="1">
      <c r="A627" s="32"/>
      <c r="B627" s="78" t="s">
        <v>624</v>
      </c>
      <c r="C627" s="14" t="s">
        <v>901</v>
      </c>
      <c r="D627" s="240"/>
      <c r="E627" s="14" t="s">
        <v>902</v>
      </c>
      <c r="F627" s="154" t="str">
        <f>IF(wskakunin_kanri3_KENTIKUSI_NO="","",wskakunin_kanri3_KENTIKUSI_NO)</f>
        <v/>
      </c>
      <c r="G627" s="17"/>
      <c r="H627" s="17"/>
    </row>
    <row r="628" spans="1:8" ht="15" customHeight="1">
      <c r="A628" s="60"/>
      <c r="B628" s="72" t="s">
        <v>11</v>
      </c>
      <c r="C628" s="14" t="s">
        <v>903</v>
      </c>
      <c r="D628" s="154"/>
      <c r="E628" s="14" t="s">
        <v>904</v>
      </c>
      <c r="F628" s="154" t="str">
        <f>IF(wskakunin_kanri3_NAME="", "", wskakunin_kanri3_NAME)</f>
        <v/>
      </c>
      <c r="G628" s="17"/>
      <c r="H628" s="17"/>
    </row>
    <row r="629" spans="1:8" ht="15" customHeight="1">
      <c r="A629" s="60"/>
      <c r="B629" s="72" t="s">
        <v>629</v>
      </c>
      <c r="C629" s="14" t="s">
        <v>905</v>
      </c>
      <c r="D629" s="154"/>
      <c r="E629" s="14" t="s">
        <v>906</v>
      </c>
      <c r="F629" s="154" t="str">
        <f>IF(wskakunin_kanri3_JIMU__sikaku="", "", wskakunin_kanri3_JIMU__sikaku)</f>
        <v/>
      </c>
      <c r="G629" s="17"/>
      <c r="H629" s="17"/>
    </row>
    <row r="630" spans="1:8" ht="15" customHeight="1">
      <c r="A630" s="44"/>
      <c r="B630" s="78" t="s">
        <v>121</v>
      </c>
      <c r="C630" s="14" t="s">
        <v>907</v>
      </c>
      <c r="D630" s="154"/>
      <c r="E630" s="14" t="s">
        <v>1481</v>
      </c>
      <c r="F630" s="154" t="str">
        <f>IF(wskakunin_kanri3_JIMU_SIKAKU__label="","",wskakunin_kanri3_JIMU_SIKAKU__label)</f>
        <v/>
      </c>
      <c r="G630" s="17"/>
      <c r="H630" s="17"/>
    </row>
    <row r="631" spans="1:8" ht="15" customHeight="1">
      <c r="A631" s="44"/>
      <c r="B631" s="78" t="s">
        <v>630</v>
      </c>
      <c r="C631" s="14" t="s">
        <v>1409</v>
      </c>
      <c r="D631" s="154"/>
      <c r="E631" s="14" t="s">
        <v>908</v>
      </c>
      <c r="F631" s="154" t="str">
        <f>IF(wskakunin_kanri3_JIMU_TOUROKU_KIKAN__label="","",wskakunin_kanri3_JIMU_TOUROKU_KIKAN__label)</f>
        <v/>
      </c>
      <c r="G631" s="17"/>
      <c r="H631" s="17"/>
    </row>
    <row r="632" spans="1:8" ht="15" customHeight="1">
      <c r="A632" s="44"/>
      <c r="B632" s="78" t="s">
        <v>631</v>
      </c>
      <c r="C632" s="14" t="s">
        <v>909</v>
      </c>
      <c r="D632" s="240"/>
      <c r="E632" s="14" t="s">
        <v>910</v>
      </c>
      <c r="F632" s="154" t="str">
        <f>IF(wskakunin_kanri3_JIMU_NO="","",wskakunin_kanri3_JIMU_NO)</f>
        <v/>
      </c>
      <c r="G632" s="17"/>
      <c r="H632" s="17"/>
    </row>
    <row r="633" spans="1:8" ht="15" customHeight="1">
      <c r="A633" s="60"/>
      <c r="B633" s="72" t="s">
        <v>122</v>
      </c>
      <c r="C633" s="14" t="s">
        <v>911</v>
      </c>
      <c r="D633" s="154"/>
      <c r="E633" s="14" t="s">
        <v>912</v>
      </c>
      <c r="F633" s="154" t="str">
        <f>IF(wskakunin_kanri3_JIMU_NAME="", "", wskakunin_kanri3_JIMU_NAME)</f>
        <v/>
      </c>
      <c r="G633" s="17"/>
      <c r="H633" s="17"/>
    </row>
    <row r="634" spans="1:8" ht="15" customHeight="1">
      <c r="A634" s="60"/>
      <c r="B634" s="72" t="s">
        <v>12</v>
      </c>
      <c r="C634" s="14" t="s">
        <v>913</v>
      </c>
      <c r="D634" s="240"/>
      <c r="E634" s="14" t="s">
        <v>914</v>
      </c>
      <c r="F634" s="154" t="str">
        <f>IF(wskakunin_kanri3_ZIP="", "", wskakunin_kanri3_ZIP)</f>
        <v/>
      </c>
      <c r="G634" s="17"/>
      <c r="H634" s="17"/>
    </row>
    <row r="635" spans="1:8" ht="15" customHeight="1">
      <c r="A635" s="60"/>
      <c r="B635" s="72" t="s">
        <v>17</v>
      </c>
      <c r="C635" s="14" t="s">
        <v>915</v>
      </c>
      <c r="D635" s="154"/>
      <c r="E635" s="14" t="s">
        <v>916</v>
      </c>
      <c r="F635" s="154" t="str">
        <f>IF(wskakunin_kanri3__address="", "", wskakunin_kanri3__address)</f>
        <v/>
      </c>
      <c r="G635" s="17"/>
      <c r="H635" s="17"/>
    </row>
    <row r="636" spans="1:8" ht="15" customHeight="1">
      <c r="A636" s="60"/>
      <c r="B636" s="72" t="s">
        <v>14</v>
      </c>
      <c r="C636" s="14" t="s">
        <v>917</v>
      </c>
      <c r="D636" s="240"/>
      <c r="E636" s="14" t="s">
        <v>918</v>
      </c>
      <c r="F636" s="154" t="str">
        <f>IF(wskakunin_kanri3_TEL="", "", wskakunin_kanri3_TEL)</f>
        <v/>
      </c>
      <c r="G636" s="17"/>
      <c r="H636" s="17"/>
    </row>
    <row r="637" spans="1:8" ht="15" customHeight="1">
      <c r="A637" s="60"/>
      <c r="B637" s="72" t="s">
        <v>666</v>
      </c>
      <c r="C637" s="14" t="s">
        <v>919</v>
      </c>
      <c r="D637" s="240"/>
      <c r="E637" s="14" t="s">
        <v>920</v>
      </c>
      <c r="F637" s="154" t="str">
        <f>IF(wskakunin_kanri3_DOC="","",wskakunin_kanri3_DOC)</f>
        <v/>
      </c>
      <c r="G637" s="17"/>
      <c r="H637" s="17"/>
    </row>
    <row r="638" spans="1:8" ht="15" customHeight="1">
      <c r="A638" s="44"/>
      <c r="B638" s="75"/>
      <c r="G638" s="17"/>
      <c r="H638" s="17"/>
    </row>
    <row r="639" spans="1:8" ht="15" customHeight="1">
      <c r="A639" s="45" t="s">
        <v>689</v>
      </c>
      <c r="B639" s="44" t="s">
        <v>1977</v>
      </c>
      <c r="G639" s="17"/>
      <c r="H639" s="17"/>
    </row>
    <row r="640" spans="1:8" ht="15" customHeight="1">
      <c r="A640" s="27"/>
      <c r="B640" s="72" t="s">
        <v>627</v>
      </c>
      <c r="C640" s="14" t="s">
        <v>921</v>
      </c>
      <c r="D640" s="154"/>
      <c r="E640" s="14" t="s">
        <v>922</v>
      </c>
      <c r="F640" s="154" t="str">
        <f>IF(wskakunin_kanri4__sikaku="", "", wskakunin_kanri4__sikaku)</f>
        <v/>
      </c>
      <c r="G640" s="17"/>
      <c r="H640" s="17"/>
    </row>
    <row r="641" spans="1:8" ht="15" customHeight="1">
      <c r="A641" s="27"/>
      <c r="B641" s="72" t="s">
        <v>628</v>
      </c>
      <c r="C641" s="14" t="s">
        <v>923</v>
      </c>
      <c r="D641" s="154"/>
      <c r="E641" s="14" t="s">
        <v>1482</v>
      </c>
      <c r="F641" s="154" t="str">
        <f>IF(wskakunin_kanri4_SIKAKU__label="", "", wskakunin_kanri4_SIKAKU__label)</f>
        <v/>
      </c>
      <c r="G641" s="17"/>
      <c r="H641" s="17"/>
    </row>
    <row r="642" spans="1:8" ht="15" customHeight="1">
      <c r="A642" s="32"/>
      <c r="B642" s="78" t="s">
        <v>623</v>
      </c>
      <c r="C642" s="14" t="s">
        <v>1410</v>
      </c>
      <c r="D642" s="154"/>
      <c r="E642" s="14" t="s">
        <v>924</v>
      </c>
      <c r="F642" s="154" t="str">
        <f>IF(wskakunin_kanri4_TOUROKU_KIKAN__label="","",wskakunin_kanri4_TOUROKU_KIKAN__label)</f>
        <v/>
      </c>
      <c r="G642" s="17"/>
      <c r="H642" s="17"/>
    </row>
    <row r="643" spans="1:8" ht="15" customHeight="1">
      <c r="A643" s="32"/>
      <c r="B643" s="78" t="s">
        <v>624</v>
      </c>
      <c r="C643" s="14" t="s">
        <v>925</v>
      </c>
      <c r="D643" s="240"/>
      <c r="E643" s="14" t="s">
        <v>926</v>
      </c>
      <c r="F643" s="154" t="str">
        <f>IF(wskakunin_kanri4_KENTIKUSI_NO="","",wskakunin_kanri4_KENTIKUSI_NO)</f>
        <v/>
      </c>
      <c r="G643" s="17"/>
      <c r="H643" s="17"/>
    </row>
    <row r="644" spans="1:8" ht="15" customHeight="1">
      <c r="A644" s="60"/>
      <c r="B644" s="72" t="s">
        <v>11</v>
      </c>
      <c r="C644" s="14" t="s">
        <v>927</v>
      </c>
      <c r="D644" s="154"/>
      <c r="E644" s="14" t="s">
        <v>928</v>
      </c>
      <c r="F644" s="154" t="str">
        <f>IF(wskakunin_kanri4_NAME="", "", wskakunin_kanri4_NAME)</f>
        <v/>
      </c>
      <c r="G644" s="17"/>
      <c r="H644" s="17"/>
    </row>
    <row r="645" spans="1:8" ht="15" customHeight="1">
      <c r="A645" s="60"/>
      <c r="B645" s="72" t="s">
        <v>629</v>
      </c>
      <c r="C645" s="14" t="s">
        <v>929</v>
      </c>
      <c r="D645" s="154"/>
      <c r="E645" s="14" t="s">
        <v>930</v>
      </c>
      <c r="F645" s="154" t="str">
        <f>IF(wskakunin_kanri4_JIMU__sikaku="", "", wskakunin_kanri4_JIMU__sikaku)</f>
        <v/>
      </c>
      <c r="G645" s="17"/>
      <c r="H645" s="17"/>
    </row>
    <row r="646" spans="1:8" ht="15" customHeight="1">
      <c r="A646" s="44"/>
      <c r="B646" s="78" t="s">
        <v>121</v>
      </c>
      <c r="C646" s="14" t="s">
        <v>931</v>
      </c>
      <c r="D646" s="154"/>
      <c r="E646" s="14" t="s">
        <v>1475</v>
      </c>
      <c r="F646" s="154" t="str">
        <f>IF(wskakunin_kanri4_JIMU_SIKAKU__label="","",wskakunin_kanri4_JIMU_SIKAKU__label)</f>
        <v/>
      </c>
      <c r="G646" s="17"/>
      <c r="H646" s="17"/>
    </row>
    <row r="647" spans="1:8" ht="15" customHeight="1">
      <c r="A647" s="44"/>
      <c r="B647" s="78" t="s">
        <v>630</v>
      </c>
      <c r="C647" s="14" t="s">
        <v>1411</v>
      </c>
      <c r="D647" s="154"/>
      <c r="E647" s="14" t="s">
        <v>932</v>
      </c>
      <c r="F647" s="154" t="str">
        <f>IF(wskakunin_kanri4_JIMU_TOUROKU_KIKAN__label="","",wskakunin_kanri4_JIMU_TOUROKU_KIKAN__label)</f>
        <v/>
      </c>
      <c r="G647" s="17"/>
      <c r="H647" s="17"/>
    </row>
    <row r="648" spans="1:8" ht="15" customHeight="1">
      <c r="A648" s="44"/>
      <c r="B648" s="78" t="s">
        <v>631</v>
      </c>
      <c r="C648" s="14" t="s">
        <v>933</v>
      </c>
      <c r="D648" s="240"/>
      <c r="E648" s="14" t="s">
        <v>934</v>
      </c>
      <c r="F648" s="154" t="str">
        <f>IF(wskakunin_kanri4_JIMU_NO="","",wskakunin_kanri4_JIMU_NO)</f>
        <v/>
      </c>
      <c r="G648" s="17"/>
      <c r="H648" s="17"/>
    </row>
    <row r="649" spans="1:8" ht="15" customHeight="1">
      <c r="A649" s="60"/>
      <c r="B649" s="72" t="s">
        <v>122</v>
      </c>
      <c r="C649" s="14" t="s">
        <v>935</v>
      </c>
      <c r="D649" s="154"/>
      <c r="E649" s="14" t="s">
        <v>936</v>
      </c>
      <c r="F649" s="154" t="str">
        <f>IF(wskakunin_kanri4_JIMU_NAME="", "", wskakunin_kanri4_JIMU_NAME)</f>
        <v/>
      </c>
      <c r="G649" s="17"/>
      <c r="H649" s="17"/>
    </row>
    <row r="650" spans="1:8" ht="15" customHeight="1">
      <c r="A650" s="60"/>
      <c r="B650" s="72" t="s">
        <v>12</v>
      </c>
      <c r="C650" s="14" t="s">
        <v>937</v>
      </c>
      <c r="D650" s="240"/>
      <c r="E650" s="14" t="s">
        <v>938</v>
      </c>
      <c r="F650" s="154" t="str">
        <f>IF(wskakunin_kanri4_ZIP="", "", wskakunin_kanri4_ZIP)</f>
        <v/>
      </c>
      <c r="G650" s="17"/>
      <c r="H650" s="17"/>
    </row>
    <row r="651" spans="1:8" ht="15" customHeight="1">
      <c r="A651" s="60"/>
      <c r="B651" s="72" t="s">
        <v>17</v>
      </c>
      <c r="C651" s="14" t="s">
        <v>939</v>
      </c>
      <c r="D651" s="154"/>
      <c r="E651" s="14" t="s">
        <v>940</v>
      </c>
      <c r="F651" s="154" t="str">
        <f>IF(wskakunin_kanri4__address="", "", wskakunin_kanri4__address)</f>
        <v/>
      </c>
      <c r="G651" s="17"/>
      <c r="H651" s="17"/>
    </row>
    <row r="652" spans="1:8" ht="15" customHeight="1">
      <c r="A652" s="60"/>
      <c r="B652" s="72" t="s">
        <v>14</v>
      </c>
      <c r="C652" s="14" t="s">
        <v>941</v>
      </c>
      <c r="D652" s="240"/>
      <c r="E652" s="14" t="s">
        <v>942</v>
      </c>
      <c r="F652" s="154" t="str">
        <f>IF(wskakunin_kanri4_TEL="", "", wskakunin_kanri4_TEL)</f>
        <v/>
      </c>
      <c r="G652" s="17"/>
      <c r="H652" s="17"/>
    </row>
    <row r="653" spans="1:8" ht="15" customHeight="1">
      <c r="A653" s="60"/>
      <c r="B653" s="72" t="s">
        <v>666</v>
      </c>
      <c r="C653" s="14" t="s">
        <v>943</v>
      </c>
      <c r="D653" s="240"/>
      <c r="E653" s="14" t="s">
        <v>944</v>
      </c>
      <c r="F653" s="154" t="str">
        <f>IF(wskakunin_kanri4_DOC="","",wskakunin_kanri4_DOC)</f>
        <v/>
      </c>
      <c r="G653" s="17"/>
      <c r="H653" s="17"/>
    </row>
    <row r="654" spans="1:8" ht="15" customHeight="1">
      <c r="A654" s="44"/>
      <c r="B654" s="76"/>
      <c r="G654" s="17"/>
      <c r="H654" s="17"/>
    </row>
    <row r="655" spans="1:8" ht="15" customHeight="1">
      <c r="A655" s="45" t="s">
        <v>2174</v>
      </c>
      <c r="B655" s="44" t="s">
        <v>1977</v>
      </c>
      <c r="G655" s="17"/>
      <c r="H655" s="17"/>
    </row>
    <row r="656" spans="1:8" ht="15" customHeight="1">
      <c r="A656" s="27"/>
      <c r="B656" s="72" t="s">
        <v>627</v>
      </c>
      <c r="C656" s="14" t="s">
        <v>1978</v>
      </c>
      <c r="D656" s="154"/>
      <c r="E656" s="14" t="s">
        <v>1979</v>
      </c>
      <c r="F656" s="154" t="str">
        <f>IF(wskakunin_kanri5__sikaku="", "", wskakunin_kanri5__sikaku)</f>
        <v/>
      </c>
      <c r="H656" s="17"/>
    </row>
    <row r="657" spans="1:8" ht="15" customHeight="1">
      <c r="A657" s="27"/>
      <c r="B657" s="72" t="s">
        <v>628</v>
      </c>
      <c r="C657" s="14" t="s">
        <v>1980</v>
      </c>
      <c r="D657" s="154"/>
      <c r="E657" s="14" t="s">
        <v>1981</v>
      </c>
      <c r="F657" s="154" t="str">
        <f>IF(wskakunin_kanri5_SIKAKU__label="", "", wskakunin_kanri5_SIKAKU__label)</f>
        <v/>
      </c>
      <c r="H657" s="17"/>
    </row>
    <row r="658" spans="1:8" ht="15" customHeight="1">
      <c r="A658" s="32"/>
      <c r="B658" s="78" t="s">
        <v>623</v>
      </c>
      <c r="C658" s="14" t="s">
        <v>1982</v>
      </c>
      <c r="D658" s="154"/>
      <c r="E658" s="14" t="s">
        <v>1983</v>
      </c>
      <c r="F658" s="154" t="str">
        <f>IF(wskakunin_kanri5_TOUROKU_KIKAN__label="","",wskakunin_kanri5_TOUROKU_KIKAN__label)</f>
        <v/>
      </c>
      <c r="H658" s="17"/>
    </row>
    <row r="659" spans="1:8" ht="15" customHeight="1">
      <c r="A659" s="32"/>
      <c r="B659" s="78" t="s">
        <v>624</v>
      </c>
      <c r="C659" s="14" t="s">
        <v>1984</v>
      </c>
      <c r="D659" s="240"/>
      <c r="E659" s="14" t="s">
        <v>1985</v>
      </c>
      <c r="F659" s="154" t="str">
        <f>IF(wskakunin_kanri5_KENTIKUSI_NO="","",wskakunin_kanri5_KENTIKUSI_NO)</f>
        <v/>
      </c>
      <c r="H659" s="17"/>
    </row>
    <row r="660" spans="1:8" ht="15" customHeight="1">
      <c r="A660" s="60"/>
      <c r="B660" s="72" t="s">
        <v>11</v>
      </c>
      <c r="C660" s="14" t="s">
        <v>1986</v>
      </c>
      <c r="D660" s="154"/>
      <c r="E660" s="14" t="s">
        <v>1987</v>
      </c>
      <c r="F660" s="154" t="str">
        <f>IF(wskakunin_kanri5_NAME="", "", wskakunin_kanri5_NAME)</f>
        <v/>
      </c>
      <c r="H660" s="17"/>
    </row>
    <row r="661" spans="1:8" ht="15" customHeight="1">
      <c r="A661" s="60"/>
      <c r="B661" s="72" t="s">
        <v>629</v>
      </c>
      <c r="C661" s="14" t="s">
        <v>1988</v>
      </c>
      <c r="D661" s="154"/>
      <c r="E661" s="14" t="s">
        <v>1989</v>
      </c>
      <c r="F661" s="154" t="str">
        <f>IF(wskakunin_kanri5_JIMU__sikaku="", "", wskakunin_kanri5_JIMU__sikaku)</f>
        <v/>
      </c>
      <c r="H661" s="17"/>
    </row>
    <row r="662" spans="1:8" ht="15" customHeight="1">
      <c r="A662" s="44"/>
      <c r="B662" s="78" t="s">
        <v>121</v>
      </c>
      <c r="C662" s="14" t="s">
        <v>1990</v>
      </c>
      <c r="D662" s="154"/>
      <c r="E662" s="14" t="s">
        <v>1991</v>
      </c>
      <c r="F662" s="154" t="str">
        <f>IF(wskakunin_kanri5_JIMU_SIKAKU__label="","",wskakunin_kanri5_JIMU_SIKAKU__label)</f>
        <v/>
      </c>
      <c r="H662" s="17"/>
    </row>
    <row r="663" spans="1:8" ht="15" customHeight="1">
      <c r="A663" s="44"/>
      <c r="B663" s="78" t="s">
        <v>630</v>
      </c>
      <c r="C663" s="14" t="s">
        <v>1992</v>
      </c>
      <c r="D663" s="154"/>
      <c r="E663" s="14" t="s">
        <v>1993</v>
      </c>
      <c r="F663" s="154" t="str">
        <f>IF(wskakunin_kanri5_JIMU_TOUROKU_KIKAN__label="","",wskakunin_kanri5_JIMU_TOUROKU_KIKAN__label)</f>
        <v/>
      </c>
      <c r="H663" s="17"/>
    </row>
    <row r="664" spans="1:8" ht="15" customHeight="1">
      <c r="A664" s="44"/>
      <c r="B664" s="78" t="s">
        <v>631</v>
      </c>
      <c r="C664" s="14" t="s">
        <v>1994</v>
      </c>
      <c r="D664" s="240"/>
      <c r="E664" s="14" t="s">
        <v>1995</v>
      </c>
      <c r="F664" s="154" t="str">
        <f>IF(wskakunin_kanri5_JIMU_NO="","",wskakunin_kanri5_JIMU_NO)</f>
        <v/>
      </c>
      <c r="H664" s="17"/>
    </row>
    <row r="665" spans="1:8" ht="15" customHeight="1">
      <c r="A665" s="60"/>
      <c r="B665" s="72" t="s">
        <v>122</v>
      </c>
      <c r="C665" s="14" t="s">
        <v>1996</v>
      </c>
      <c r="D665" s="154"/>
      <c r="E665" s="14" t="s">
        <v>1997</v>
      </c>
      <c r="F665" s="154" t="str">
        <f>IF(wskakunin_kanri5_JIMU_NAME="", "", wskakunin_kanri5_JIMU_NAME)</f>
        <v/>
      </c>
      <c r="H665" s="17"/>
    </row>
    <row r="666" spans="1:8" ht="15" customHeight="1">
      <c r="A666" s="60"/>
      <c r="B666" s="72" t="s">
        <v>12</v>
      </c>
      <c r="C666" s="14" t="s">
        <v>1998</v>
      </c>
      <c r="D666" s="240"/>
      <c r="E666" s="14" t="s">
        <v>1999</v>
      </c>
      <c r="F666" s="154" t="str">
        <f>IF(wskakunin_kanri5_ZIP="", "", wskakunin_kanri5_ZIP)</f>
        <v/>
      </c>
      <c r="H666" s="17"/>
    </row>
    <row r="667" spans="1:8" ht="15" customHeight="1">
      <c r="A667" s="60"/>
      <c r="B667" s="72" t="s">
        <v>17</v>
      </c>
      <c r="C667" s="14" t="s">
        <v>2000</v>
      </c>
      <c r="D667" s="154"/>
      <c r="E667" s="14" t="s">
        <v>2001</v>
      </c>
      <c r="F667" s="154" t="str">
        <f>IF(wskakunin_kanri5__address="", "", wskakunin_kanri5__address)</f>
        <v/>
      </c>
      <c r="H667" s="17"/>
    </row>
    <row r="668" spans="1:8" ht="15" customHeight="1">
      <c r="A668" s="60"/>
      <c r="B668" s="72" t="s">
        <v>14</v>
      </c>
      <c r="C668" s="14" t="s">
        <v>2002</v>
      </c>
      <c r="D668" s="240"/>
      <c r="E668" s="14" t="s">
        <v>2003</v>
      </c>
      <c r="F668" s="154" t="str">
        <f>IF(wskakunin_kanri5_TEL="", "", wskakunin_kanri5_TEL)</f>
        <v/>
      </c>
      <c r="H668" s="17"/>
    </row>
    <row r="669" spans="1:8" ht="15" customHeight="1">
      <c r="A669" s="60"/>
      <c r="B669" s="72" t="s">
        <v>666</v>
      </c>
      <c r="C669" s="14" t="s">
        <v>2004</v>
      </c>
      <c r="D669" s="240"/>
      <c r="E669" s="14" t="s">
        <v>2005</v>
      </c>
      <c r="F669" s="154" t="str">
        <f>IF(wskakunin_kanri5_DOC="","",wskakunin_kanri5_DOC)</f>
        <v/>
      </c>
      <c r="H669" s="17"/>
    </row>
    <row r="670" spans="1:8" ht="15" customHeight="1">
      <c r="A670" s="44"/>
      <c r="B670" s="75"/>
      <c r="H670" s="17"/>
    </row>
    <row r="671" spans="1:8" ht="15" customHeight="1">
      <c r="A671" s="45" t="s">
        <v>2175</v>
      </c>
      <c r="B671" s="44" t="s">
        <v>1977</v>
      </c>
      <c r="H671" s="17"/>
    </row>
    <row r="672" spans="1:8" ht="15" customHeight="1">
      <c r="A672" s="27"/>
      <c r="B672" s="72" t="s">
        <v>627</v>
      </c>
      <c r="C672" s="14" t="s">
        <v>2006</v>
      </c>
      <c r="D672" s="154"/>
      <c r="E672" s="14" t="s">
        <v>2007</v>
      </c>
      <c r="F672" s="154" t="str">
        <f>IF(wskakunin_kanri6__sikaku="", "", wskakunin_kanri6__sikaku)</f>
        <v/>
      </c>
      <c r="H672" s="17"/>
    </row>
    <row r="673" spans="1:8" ht="15" customHeight="1">
      <c r="A673" s="27"/>
      <c r="B673" s="72" t="s">
        <v>628</v>
      </c>
      <c r="C673" s="14" t="s">
        <v>2008</v>
      </c>
      <c r="D673" s="154"/>
      <c r="E673" s="14" t="s">
        <v>2009</v>
      </c>
      <c r="F673" s="154" t="str">
        <f>IF(wskakunin_kanri6_SIKAKU__label="", "", wskakunin_kanri6_SIKAKU__label)</f>
        <v/>
      </c>
      <c r="H673" s="17"/>
    </row>
    <row r="674" spans="1:8" ht="15" customHeight="1">
      <c r="A674" s="32"/>
      <c r="B674" s="78" t="s">
        <v>623</v>
      </c>
      <c r="C674" s="14" t="s">
        <v>2010</v>
      </c>
      <c r="D674" s="154"/>
      <c r="E674" s="14" t="s">
        <v>2011</v>
      </c>
      <c r="F674" s="154" t="str">
        <f>IF(wskakunin_kanri6_TOUROKU_KIKAN__label="","",wskakunin_kanri6_TOUROKU_KIKAN__label)</f>
        <v/>
      </c>
      <c r="H674" s="17"/>
    </row>
    <row r="675" spans="1:8" ht="15" customHeight="1">
      <c r="A675" s="32"/>
      <c r="B675" s="78" t="s">
        <v>624</v>
      </c>
      <c r="C675" s="14" t="s">
        <v>2012</v>
      </c>
      <c r="D675" s="240"/>
      <c r="E675" s="14" t="s">
        <v>2013</v>
      </c>
      <c r="F675" s="154" t="str">
        <f>IF(wskakunin_kanri6_KENTIKUSI_NO="","",wskakunin_kanri6_KENTIKUSI_NO)</f>
        <v/>
      </c>
      <c r="H675" s="17"/>
    </row>
    <row r="676" spans="1:8" ht="15" customHeight="1">
      <c r="A676" s="60"/>
      <c r="B676" s="72" t="s">
        <v>11</v>
      </c>
      <c r="C676" s="14" t="s">
        <v>2014</v>
      </c>
      <c r="D676" s="154"/>
      <c r="E676" s="14" t="s">
        <v>2015</v>
      </c>
      <c r="F676" s="154" t="str">
        <f>IF(wskakunin_kanri6_NAME="", "", wskakunin_kanri6_NAME)</f>
        <v/>
      </c>
      <c r="H676" s="17"/>
    </row>
    <row r="677" spans="1:8" ht="15" customHeight="1">
      <c r="A677" s="60"/>
      <c r="B677" s="72" t="s">
        <v>629</v>
      </c>
      <c r="C677" s="14" t="s">
        <v>2016</v>
      </c>
      <c r="D677" s="154"/>
      <c r="E677" s="14" t="s">
        <v>2017</v>
      </c>
      <c r="F677" s="154" t="str">
        <f>IF(wskakunin_kanri6_JIMU__sikaku="", "", wskakunin_kanri6_JIMU__sikaku)</f>
        <v/>
      </c>
      <c r="H677" s="17"/>
    </row>
    <row r="678" spans="1:8" ht="15" customHeight="1">
      <c r="A678" s="44"/>
      <c r="B678" s="78" t="s">
        <v>121</v>
      </c>
      <c r="C678" s="14" t="s">
        <v>2018</v>
      </c>
      <c r="D678" s="154"/>
      <c r="E678" s="14" t="s">
        <v>2019</v>
      </c>
      <c r="F678" s="154" t="str">
        <f>IF(wskakunin_kanri6_JIMU_SIKAKU__label="","",wskakunin_kanri6_JIMU_SIKAKU__label)</f>
        <v/>
      </c>
      <c r="H678" s="17"/>
    </row>
    <row r="679" spans="1:8" ht="15" customHeight="1">
      <c r="A679" s="44"/>
      <c r="B679" s="78" t="s">
        <v>630</v>
      </c>
      <c r="C679" s="14" t="s">
        <v>2020</v>
      </c>
      <c r="D679" s="154"/>
      <c r="E679" s="14" t="s">
        <v>2021</v>
      </c>
      <c r="F679" s="154" t="str">
        <f>IF(wskakunin_kanri6_JIMU_TOUROKU_KIKAN__label="","",wskakunin_kanri6_JIMU_TOUROKU_KIKAN__label)</f>
        <v/>
      </c>
      <c r="H679" s="17"/>
    </row>
    <row r="680" spans="1:8" ht="15" customHeight="1">
      <c r="A680" s="44"/>
      <c r="B680" s="78" t="s">
        <v>631</v>
      </c>
      <c r="C680" s="14" t="s">
        <v>2022</v>
      </c>
      <c r="D680" s="240"/>
      <c r="E680" s="14" t="s">
        <v>2023</v>
      </c>
      <c r="F680" s="154" t="str">
        <f>IF(wskakunin_kanri6_JIMU_NO="","",wskakunin_kanri6_JIMU_NO)</f>
        <v/>
      </c>
      <c r="H680" s="17"/>
    </row>
    <row r="681" spans="1:8" ht="15" customHeight="1">
      <c r="A681" s="60"/>
      <c r="B681" s="72" t="s">
        <v>122</v>
      </c>
      <c r="C681" s="14" t="s">
        <v>2024</v>
      </c>
      <c r="D681" s="154"/>
      <c r="E681" s="14" t="s">
        <v>2025</v>
      </c>
      <c r="F681" s="154" t="str">
        <f>IF(wskakunin_kanri6_JIMU_NAME="", "", wskakunin_kanri6_JIMU_NAME)</f>
        <v/>
      </c>
      <c r="H681" s="17"/>
    </row>
    <row r="682" spans="1:8" ht="15" customHeight="1">
      <c r="A682" s="60"/>
      <c r="B682" s="72" t="s">
        <v>12</v>
      </c>
      <c r="C682" s="14" t="s">
        <v>2026</v>
      </c>
      <c r="D682" s="240"/>
      <c r="E682" s="14" t="s">
        <v>2027</v>
      </c>
      <c r="F682" s="154" t="str">
        <f>IF(wskakunin_kanri6_ZIP="", "", wskakunin_kanri6_ZIP)</f>
        <v/>
      </c>
      <c r="H682" s="17"/>
    </row>
    <row r="683" spans="1:8" ht="15" customHeight="1">
      <c r="A683" s="60"/>
      <c r="B683" s="72" t="s">
        <v>17</v>
      </c>
      <c r="C683" s="14" t="s">
        <v>2028</v>
      </c>
      <c r="D683" s="154"/>
      <c r="E683" s="14" t="s">
        <v>2029</v>
      </c>
      <c r="F683" s="154" t="str">
        <f>IF(wskakunin_kanri6__address="", "", wskakunin_kanri6__address)</f>
        <v/>
      </c>
      <c r="H683" s="17"/>
    </row>
    <row r="684" spans="1:8" ht="15" customHeight="1">
      <c r="A684" s="60"/>
      <c r="B684" s="72" t="s">
        <v>14</v>
      </c>
      <c r="C684" s="14" t="s">
        <v>2030</v>
      </c>
      <c r="D684" s="240"/>
      <c r="E684" s="14" t="s">
        <v>2031</v>
      </c>
      <c r="F684" s="154" t="str">
        <f>IF(wskakunin_kanri6_TEL="", "", wskakunin_kanri6_TEL)</f>
        <v/>
      </c>
      <c r="H684" s="17"/>
    </row>
    <row r="685" spans="1:8" ht="15" customHeight="1">
      <c r="A685" s="60"/>
      <c r="B685" s="72" t="s">
        <v>666</v>
      </c>
      <c r="C685" s="14" t="s">
        <v>2032</v>
      </c>
      <c r="D685" s="240"/>
      <c r="E685" s="14" t="s">
        <v>2033</v>
      </c>
      <c r="F685" s="154" t="str">
        <f>IF(wskakunin_kanri6_DOC="","",wskakunin_kanri6_DOC)</f>
        <v/>
      </c>
      <c r="H685" s="17"/>
    </row>
    <row r="686" spans="1:8" ht="15" customHeight="1">
      <c r="A686" s="44"/>
      <c r="B686" s="75"/>
      <c r="H686" s="17"/>
    </row>
    <row r="687" spans="1:8" ht="15" customHeight="1">
      <c r="A687" s="45" t="s">
        <v>2176</v>
      </c>
      <c r="B687" s="44" t="s">
        <v>1977</v>
      </c>
      <c r="H687" s="17"/>
    </row>
    <row r="688" spans="1:8" ht="15" customHeight="1">
      <c r="A688" s="27"/>
      <c r="B688" s="72" t="s">
        <v>627</v>
      </c>
      <c r="C688" s="14" t="s">
        <v>2034</v>
      </c>
      <c r="D688" s="154"/>
      <c r="E688" s="14" t="s">
        <v>2035</v>
      </c>
      <c r="F688" s="154" t="str">
        <f>IF(wskakunin_kanri7__sikaku="", "", wskakunin_kanri7__sikaku)</f>
        <v/>
      </c>
      <c r="H688" s="17"/>
    </row>
    <row r="689" spans="1:8" ht="15" customHeight="1">
      <c r="A689" s="27"/>
      <c r="B689" s="72" t="s">
        <v>628</v>
      </c>
      <c r="C689" s="14" t="s">
        <v>2036</v>
      </c>
      <c r="D689" s="154"/>
      <c r="E689" s="14" t="s">
        <v>2037</v>
      </c>
      <c r="F689" s="154" t="str">
        <f>IF(wskakunin_kanri7_SIKAKU__label="", "", wskakunin_kanri7_SIKAKU__label)</f>
        <v/>
      </c>
      <c r="H689" s="17"/>
    </row>
    <row r="690" spans="1:8" ht="15" customHeight="1">
      <c r="A690" s="32"/>
      <c r="B690" s="78" t="s">
        <v>623</v>
      </c>
      <c r="C690" s="14" t="s">
        <v>2038</v>
      </c>
      <c r="D690" s="154"/>
      <c r="E690" s="14" t="s">
        <v>2039</v>
      </c>
      <c r="F690" s="154" t="str">
        <f>IF(wskakunin_kanri7_TOUROKU_KIKAN__label="","",wskakunin_kanri7_TOUROKU_KIKAN__label)</f>
        <v/>
      </c>
      <c r="H690" s="17"/>
    </row>
    <row r="691" spans="1:8" ht="15" customHeight="1">
      <c r="A691" s="32"/>
      <c r="B691" s="78" t="s">
        <v>624</v>
      </c>
      <c r="C691" s="14" t="s">
        <v>2040</v>
      </c>
      <c r="D691" s="240"/>
      <c r="E691" s="14" t="s">
        <v>2041</v>
      </c>
      <c r="F691" s="154" t="str">
        <f>IF(wskakunin_kanri7_KENTIKUSI_NO="","",wskakunin_kanri7_KENTIKUSI_NO)</f>
        <v/>
      </c>
      <c r="H691" s="17"/>
    </row>
    <row r="692" spans="1:8" ht="15" customHeight="1">
      <c r="A692" s="60"/>
      <c r="B692" s="72" t="s">
        <v>11</v>
      </c>
      <c r="C692" s="14" t="s">
        <v>2042</v>
      </c>
      <c r="D692" s="154"/>
      <c r="E692" s="14" t="s">
        <v>2043</v>
      </c>
      <c r="F692" s="154" t="str">
        <f>IF(wskakunin_kanri7_NAME="", "", wskakunin_kanri7_NAME)</f>
        <v/>
      </c>
      <c r="H692" s="17"/>
    </row>
    <row r="693" spans="1:8" ht="15" customHeight="1">
      <c r="A693" s="60"/>
      <c r="B693" s="72" t="s">
        <v>629</v>
      </c>
      <c r="C693" s="14" t="s">
        <v>2044</v>
      </c>
      <c r="D693" s="154"/>
      <c r="E693" s="14" t="s">
        <v>2045</v>
      </c>
      <c r="F693" s="154" t="str">
        <f>IF(wskakunin_kanri7_JIMU__sikaku="", "", wskakunin_kanri7_JIMU__sikaku)</f>
        <v/>
      </c>
      <c r="H693" s="17"/>
    </row>
    <row r="694" spans="1:8" ht="15" customHeight="1">
      <c r="A694" s="44"/>
      <c r="B694" s="78" t="s">
        <v>121</v>
      </c>
      <c r="C694" s="14" t="s">
        <v>2046</v>
      </c>
      <c r="D694" s="154"/>
      <c r="E694" s="14" t="s">
        <v>2047</v>
      </c>
      <c r="F694" s="154" t="str">
        <f>IF(wskakunin_kanri7_JIMU_SIKAKU__label="","",wskakunin_kanri7_JIMU_SIKAKU__label)</f>
        <v/>
      </c>
      <c r="H694" s="17"/>
    </row>
    <row r="695" spans="1:8" ht="15" customHeight="1">
      <c r="A695" s="44"/>
      <c r="B695" s="78" t="s">
        <v>630</v>
      </c>
      <c r="C695" s="14" t="s">
        <v>2048</v>
      </c>
      <c r="D695" s="154"/>
      <c r="E695" s="14" t="s">
        <v>2049</v>
      </c>
      <c r="F695" s="154" t="str">
        <f>IF(wskakunin_kanri7_JIMU_TOUROKU_KIKAN__label="","",wskakunin_kanri7_JIMU_TOUROKU_KIKAN__label)</f>
        <v/>
      </c>
      <c r="H695" s="17"/>
    </row>
    <row r="696" spans="1:8" ht="15" customHeight="1">
      <c r="A696" s="44"/>
      <c r="B696" s="78" t="s">
        <v>631</v>
      </c>
      <c r="C696" s="14" t="s">
        <v>2050</v>
      </c>
      <c r="D696" s="240"/>
      <c r="E696" s="14" t="s">
        <v>2051</v>
      </c>
      <c r="F696" s="154" t="str">
        <f>IF(wskakunin_kanri7_JIMU_NO="","",wskakunin_kanri7_JIMU_NO)</f>
        <v/>
      </c>
      <c r="H696" s="17"/>
    </row>
    <row r="697" spans="1:8" ht="15" customHeight="1">
      <c r="A697" s="60"/>
      <c r="B697" s="72" t="s">
        <v>122</v>
      </c>
      <c r="C697" s="14" t="s">
        <v>2052</v>
      </c>
      <c r="D697" s="154"/>
      <c r="E697" s="14" t="s">
        <v>2053</v>
      </c>
      <c r="F697" s="154" t="str">
        <f>IF(wskakunin_kanri7_JIMU_NAME="", "", wskakunin_kanri7_JIMU_NAME)</f>
        <v/>
      </c>
      <c r="H697" s="17"/>
    </row>
    <row r="698" spans="1:8" ht="15" customHeight="1">
      <c r="A698" s="60"/>
      <c r="B698" s="72" t="s">
        <v>12</v>
      </c>
      <c r="C698" s="14" t="s">
        <v>2054</v>
      </c>
      <c r="D698" s="240"/>
      <c r="E698" s="14" t="s">
        <v>2055</v>
      </c>
      <c r="F698" s="154" t="str">
        <f>IF(wskakunin_kanri7_ZIP="", "", wskakunin_kanri7_ZIP)</f>
        <v/>
      </c>
      <c r="H698" s="17"/>
    </row>
    <row r="699" spans="1:8" ht="15" customHeight="1">
      <c r="A699" s="60"/>
      <c r="B699" s="72" t="s">
        <v>17</v>
      </c>
      <c r="C699" s="14" t="s">
        <v>2056</v>
      </c>
      <c r="D699" s="154"/>
      <c r="E699" s="14" t="s">
        <v>2057</v>
      </c>
      <c r="F699" s="154" t="str">
        <f>IF(wskakunin_kanri7__address="", "", wskakunin_kanri7__address)</f>
        <v/>
      </c>
      <c r="H699" s="17"/>
    </row>
    <row r="700" spans="1:8" ht="15" customHeight="1">
      <c r="A700" s="60"/>
      <c r="B700" s="72" t="s">
        <v>14</v>
      </c>
      <c r="C700" s="14" t="s">
        <v>2058</v>
      </c>
      <c r="D700" s="240"/>
      <c r="E700" s="14" t="s">
        <v>2059</v>
      </c>
      <c r="F700" s="154" t="str">
        <f>IF(wskakunin_kanri7_TEL="", "", wskakunin_kanri7_TEL)</f>
        <v/>
      </c>
      <c r="H700" s="17"/>
    </row>
    <row r="701" spans="1:8" ht="15" customHeight="1">
      <c r="A701" s="60"/>
      <c r="B701" s="72" t="s">
        <v>666</v>
      </c>
      <c r="C701" s="14" t="s">
        <v>2060</v>
      </c>
      <c r="D701" s="240"/>
      <c r="E701" s="14" t="s">
        <v>2061</v>
      </c>
      <c r="F701" s="154" t="str">
        <f>IF(wskakunin_kanri7_DOC="","",wskakunin_kanri7_DOC)</f>
        <v/>
      </c>
      <c r="H701" s="17"/>
    </row>
    <row r="702" spans="1:8" ht="15" customHeight="1">
      <c r="A702" s="44"/>
      <c r="B702" s="75"/>
      <c r="H702" s="17"/>
    </row>
    <row r="703" spans="1:8" ht="15" customHeight="1">
      <c r="A703" s="45" t="s">
        <v>2177</v>
      </c>
      <c r="B703" s="44" t="s">
        <v>1977</v>
      </c>
      <c r="H703" s="17"/>
    </row>
    <row r="704" spans="1:8" ht="15" customHeight="1">
      <c r="A704" s="27"/>
      <c r="B704" s="72" t="s">
        <v>627</v>
      </c>
      <c r="C704" s="14" t="s">
        <v>2062</v>
      </c>
      <c r="D704" s="154"/>
      <c r="E704" s="14" t="s">
        <v>2063</v>
      </c>
      <c r="F704" s="154" t="str">
        <f>IF(wskakunin_kanri8__sikaku="", "", wskakunin_kanri8__sikaku)</f>
        <v/>
      </c>
      <c r="H704" s="17"/>
    </row>
    <row r="705" spans="1:8" ht="15" customHeight="1">
      <c r="A705" s="27"/>
      <c r="B705" s="72" t="s">
        <v>628</v>
      </c>
      <c r="C705" s="14" t="s">
        <v>2064</v>
      </c>
      <c r="D705" s="154"/>
      <c r="E705" s="14" t="s">
        <v>2065</v>
      </c>
      <c r="F705" s="154" t="str">
        <f>IF(wskakunin_kanri8_SIKAKU__label="", "", wskakunin_kanri8_SIKAKU__label)</f>
        <v/>
      </c>
      <c r="H705" s="17"/>
    </row>
    <row r="706" spans="1:8" ht="15" customHeight="1">
      <c r="A706" s="32"/>
      <c r="B706" s="78" t="s">
        <v>623</v>
      </c>
      <c r="C706" s="14" t="s">
        <v>2066</v>
      </c>
      <c r="D706" s="154"/>
      <c r="E706" s="14" t="s">
        <v>2067</v>
      </c>
      <c r="F706" s="154" t="str">
        <f>IF(wskakunin_kanri8_TOUROKU_KIKAN__label="","",wskakunin_kanri8_TOUROKU_KIKAN__label)</f>
        <v/>
      </c>
      <c r="H706" s="17"/>
    </row>
    <row r="707" spans="1:8" ht="15" customHeight="1">
      <c r="A707" s="32"/>
      <c r="B707" s="78" t="s">
        <v>624</v>
      </c>
      <c r="C707" s="14" t="s">
        <v>2068</v>
      </c>
      <c r="D707" s="240"/>
      <c r="E707" s="14" t="s">
        <v>2069</v>
      </c>
      <c r="F707" s="154" t="str">
        <f>IF(wskakunin_kanri8_KENTIKUSI_NO="","",wskakunin_kanri8_KENTIKUSI_NO)</f>
        <v/>
      </c>
      <c r="H707" s="17"/>
    </row>
    <row r="708" spans="1:8" ht="15" customHeight="1">
      <c r="A708" s="60"/>
      <c r="B708" s="72" t="s">
        <v>11</v>
      </c>
      <c r="C708" s="14" t="s">
        <v>2070</v>
      </c>
      <c r="D708" s="154"/>
      <c r="E708" s="14" t="s">
        <v>2071</v>
      </c>
      <c r="F708" s="154" t="str">
        <f>IF(wskakunin_kanri8_NAME="", "", wskakunin_kanri8_NAME)</f>
        <v/>
      </c>
      <c r="H708" s="17"/>
    </row>
    <row r="709" spans="1:8" ht="15" customHeight="1">
      <c r="A709" s="60"/>
      <c r="B709" s="72" t="s">
        <v>629</v>
      </c>
      <c r="C709" s="14" t="s">
        <v>2072</v>
      </c>
      <c r="D709" s="154"/>
      <c r="E709" s="14" t="s">
        <v>2073</v>
      </c>
      <c r="F709" s="154" t="str">
        <f>IF(wskakunin_kanri8_JIMU__sikaku="", "", wskakunin_kanri8_JIMU__sikaku)</f>
        <v/>
      </c>
      <c r="H709" s="17"/>
    </row>
    <row r="710" spans="1:8" ht="15" customHeight="1">
      <c r="A710" s="44"/>
      <c r="B710" s="78" t="s">
        <v>121</v>
      </c>
      <c r="C710" s="14" t="s">
        <v>2074</v>
      </c>
      <c r="D710" s="154"/>
      <c r="E710" s="14" t="s">
        <v>2075</v>
      </c>
      <c r="F710" s="154" t="str">
        <f>IF(wskakunin_kanri8_JIMU_SIKAKU__label="","",wskakunin_kanri8_JIMU_SIKAKU__label)</f>
        <v/>
      </c>
      <c r="H710" s="17"/>
    </row>
    <row r="711" spans="1:8" ht="15" customHeight="1">
      <c r="A711" s="44"/>
      <c r="B711" s="78" t="s">
        <v>630</v>
      </c>
      <c r="C711" s="14" t="s">
        <v>2076</v>
      </c>
      <c r="D711" s="154"/>
      <c r="E711" s="14" t="s">
        <v>2077</v>
      </c>
      <c r="F711" s="154" t="str">
        <f>IF(wskakunin_kanri8_JIMU_TOUROKU_KIKAN__label="","",wskakunin_kanri8_JIMU_TOUROKU_KIKAN__label)</f>
        <v/>
      </c>
      <c r="H711" s="17"/>
    </row>
    <row r="712" spans="1:8" ht="15" customHeight="1">
      <c r="A712" s="44"/>
      <c r="B712" s="78" t="s">
        <v>631</v>
      </c>
      <c r="C712" s="14" t="s">
        <v>2078</v>
      </c>
      <c r="D712" s="240"/>
      <c r="E712" s="14" t="s">
        <v>2079</v>
      </c>
      <c r="F712" s="154" t="str">
        <f>IF(wskakunin_kanri8_JIMU_NO="","",wskakunin_kanri8_JIMU_NO)</f>
        <v/>
      </c>
      <c r="H712" s="17"/>
    </row>
    <row r="713" spans="1:8" ht="15" customHeight="1">
      <c r="A713" s="60"/>
      <c r="B713" s="72" t="s">
        <v>122</v>
      </c>
      <c r="C713" s="14" t="s">
        <v>2080</v>
      </c>
      <c r="D713" s="154"/>
      <c r="E713" s="14" t="s">
        <v>2081</v>
      </c>
      <c r="F713" s="154" t="str">
        <f>IF(wskakunin_kanri8_JIMU_NAME="", "", wskakunin_kanri8_JIMU_NAME)</f>
        <v/>
      </c>
      <c r="H713" s="17"/>
    </row>
    <row r="714" spans="1:8" ht="15" customHeight="1">
      <c r="A714" s="60"/>
      <c r="B714" s="72" t="s">
        <v>12</v>
      </c>
      <c r="C714" s="14" t="s">
        <v>2082</v>
      </c>
      <c r="D714" s="240"/>
      <c r="E714" s="14" t="s">
        <v>2083</v>
      </c>
      <c r="F714" s="154" t="str">
        <f>IF(wskakunin_kanri8_ZIP="", "", wskakunin_kanri8_ZIP)</f>
        <v/>
      </c>
      <c r="H714" s="17"/>
    </row>
    <row r="715" spans="1:8" ht="15" customHeight="1">
      <c r="A715" s="60"/>
      <c r="B715" s="72" t="s">
        <v>17</v>
      </c>
      <c r="C715" s="14" t="s">
        <v>2084</v>
      </c>
      <c r="D715" s="154"/>
      <c r="E715" s="14" t="s">
        <v>2085</v>
      </c>
      <c r="F715" s="154" t="str">
        <f>IF(wskakunin_kanri8__address="", "", wskakunin_kanri8__address)</f>
        <v/>
      </c>
      <c r="H715" s="17"/>
    </row>
    <row r="716" spans="1:8" ht="15" customHeight="1">
      <c r="A716" s="60"/>
      <c r="B716" s="72" t="s">
        <v>14</v>
      </c>
      <c r="C716" s="14" t="s">
        <v>2086</v>
      </c>
      <c r="D716" s="240"/>
      <c r="E716" s="14" t="s">
        <v>2087</v>
      </c>
      <c r="F716" s="154" t="str">
        <f>IF(wskakunin_kanri8_TEL="", "", wskakunin_kanri8_TEL)</f>
        <v/>
      </c>
      <c r="H716" s="17"/>
    </row>
    <row r="717" spans="1:8" ht="15" customHeight="1">
      <c r="A717" s="60"/>
      <c r="B717" s="72" t="s">
        <v>666</v>
      </c>
      <c r="C717" s="14" t="s">
        <v>2088</v>
      </c>
      <c r="D717" s="240"/>
      <c r="E717" s="14" t="s">
        <v>2089</v>
      </c>
      <c r="F717" s="154" t="str">
        <f>IF(wskakunin_kanri8_DOC="","",wskakunin_kanri8_DOC)</f>
        <v/>
      </c>
      <c r="H717" s="17"/>
    </row>
    <row r="718" spans="1:8" ht="15" customHeight="1">
      <c r="A718" s="44"/>
      <c r="B718" s="75"/>
      <c r="H718" s="17"/>
    </row>
    <row r="719" spans="1:8" ht="15" customHeight="1">
      <c r="A719" s="45" t="s">
        <v>2178</v>
      </c>
      <c r="B719" s="44" t="s">
        <v>1977</v>
      </c>
      <c r="H719" s="17"/>
    </row>
    <row r="720" spans="1:8" ht="15" customHeight="1">
      <c r="A720" s="27"/>
      <c r="B720" s="72" t="s">
        <v>627</v>
      </c>
      <c r="C720" s="14" t="s">
        <v>2090</v>
      </c>
      <c r="D720" s="154"/>
      <c r="E720" s="14" t="s">
        <v>2091</v>
      </c>
      <c r="F720" s="154" t="str">
        <f>IF(wskakunin_kanri9__sikaku="", "", wskakunin_kanri9__sikaku)</f>
        <v/>
      </c>
      <c r="H720" s="17"/>
    </row>
    <row r="721" spans="1:8" ht="15" customHeight="1">
      <c r="A721" s="27"/>
      <c r="B721" s="72" t="s">
        <v>628</v>
      </c>
      <c r="C721" s="14" t="s">
        <v>2092</v>
      </c>
      <c r="D721" s="154"/>
      <c r="E721" s="14" t="s">
        <v>2093</v>
      </c>
      <c r="F721" s="154" t="str">
        <f>IF(wskakunin_kanri9_SIKAKU__label="", "", wskakunin_kanri9_SIKAKU__label)</f>
        <v/>
      </c>
      <c r="H721" s="17"/>
    </row>
    <row r="722" spans="1:8" ht="15" customHeight="1">
      <c r="A722" s="32"/>
      <c r="B722" s="78" t="s">
        <v>623</v>
      </c>
      <c r="C722" s="14" t="s">
        <v>2094</v>
      </c>
      <c r="D722" s="154"/>
      <c r="E722" s="14" t="s">
        <v>2095</v>
      </c>
      <c r="F722" s="154" t="str">
        <f>IF(wskakunin_kanri9_TOUROKU_KIKAN__label="","",wskakunin_kanri9_TOUROKU_KIKAN__label)</f>
        <v/>
      </c>
      <c r="H722" s="17"/>
    </row>
    <row r="723" spans="1:8" ht="15" customHeight="1">
      <c r="A723" s="32"/>
      <c r="B723" s="78" t="s">
        <v>624</v>
      </c>
      <c r="C723" s="14" t="s">
        <v>2096</v>
      </c>
      <c r="D723" s="240"/>
      <c r="E723" s="14" t="s">
        <v>2097</v>
      </c>
      <c r="F723" s="154" t="str">
        <f>IF(wskakunin_kanri9_KENTIKUSI_NO="","",wskakunin_kanri9_KENTIKUSI_NO)</f>
        <v/>
      </c>
      <c r="H723" s="17"/>
    </row>
    <row r="724" spans="1:8" ht="15" customHeight="1">
      <c r="A724" s="60"/>
      <c r="B724" s="72" t="s">
        <v>11</v>
      </c>
      <c r="C724" s="14" t="s">
        <v>2098</v>
      </c>
      <c r="D724" s="154"/>
      <c r="E724" s="14" t="s">
        <v>2099</v>
      </c>
      <c r="F724" s="154" t="str">
        <f>IF(wskakunin_kanri9_NAME="", "", wskakunin_kanri9_NAME)</f>
        <v/>
      </c>
      <c r="H724" s="17"/>
    </row>
    <row r="725" spans="1:8" ht="15" customHeight="1">
      <c r="A725" s="60"/>
      <c r="B725" s="72" t="s">
        <v>629</v>
      </c>
      <c r="C725" s="14" t="s">
        <v>2100</v>
      </c>
      <c r="D725" s="154"/>
      <c r="E725" s="14" t="s">
        <v>2101</v>
      </c>
      <c r="F725" s="154" t="str">
        <f>IF(wskakunin_kanri9_JIMU__sikaku="", "", wskakunin_kanri9_JIMU__sikaku)</f>
        <v/>
      </c>
      <c r="H725" s="17"/>
    </row>
    <row r="726" spans="1:8" ht="15" customHeight="1">
      <c r="A726" s="44"/>
      <c r="B726" s="78" t="s">
        <v>121</v>
      </c>
      <c r="C726" s="14" t="s">
        <v>2102</v>
      </c>
      <c r="D726" s="154"/>
      <c r="E726" s="14" t="s">
        <v>2103</v>
      </c>
      <c r="F726" s="154" t="str">
        <f>IF(wskakunin_kanri9_JIMU_SIKAKU__label="","",wskakunin_kanri9_JIMU_SIKAKU__label)</f>
        <v/>
      </c>
      <c r="H726" s="17"/>
    </row>
    <row r="727" spans="1:8" ht="15" customHeight="1">
      <c r="A727" s="44"/>
      <c r="B727" s="78" t="s">
        <v>630</v>
      </c>
      <c r="C727" s="14" t="s">
        <v>2104</v>
      </c>
      <c r="D727" s="154"/>
      <c r="E727" s="14" t="s">
        <v>2105</v>
      </c>
      <c r="F727" s="154" t="str">
        <f>IF(wskakunin_kanri9_JIMU_TOUROKU_KIKAN__label="","",wskakunin_kanri9_JIMU_TOUROKU_KIKAN__label)</f>
        <v/>
      </c>
      <c r="H727" s="17"/>
    </row>
    <row r="728" spans="1:8" ht="15" customHeight="1">
      <c r="A728" s="44"/>
      <c r="B728" s="78" t="s">
        <v>631</v>
      </c>
      <c r="C728" s="14" t="s">
        <v>2106</v>
      </c>
      <c r="D728" s="240"/>
      <c r="E728" s="14" t="s">
        <v>2107</v>
      </c>
      <c r="F728" s="154" t="str">
        <f>IF(wskakunin_kanri9_JIMU_NO="","",wskakunin_kanri9_JIMU_NO)</f>
        <v/>
      </c>
      <c r="H728" s="17"/>
    </row>
    <row r="729" spans="1:8" ht="15" customHeight="1">
      <c r="A729" s="60"/>
      <c r="B729" s="72" t="s">
        <v>122</v>
      </c>
      <c r="C729" s="14" t="s">
        <v>2108</v>
      </c>
      <c r="D729" s="154"/>
      <c r="E729" s="14" t="s">
        <v>2109</v>
      </c>
      <c r="F729" s="154" t="str">
        <f>IF(wskakunin_kanri9_JIMU_NAME="", "", wskakunin_kanri9_JIMU_NAME)</f>
        <v/>
      </c>
      <c r="H729" s="17"/>
    </row>
    <row r="730" spans="1:8" ht="15" customHeight="1">
      <c r="A730" s="60"/>
      <c r="B730" s="72" t="s">
        <v>12</v>
      </c>
      <c r="C730" s="14" t="s">
        <v>2110</v>
      </c>
      <c r="D730" s="240"/>
      <c r="E730" s="14" t="s">
        <v>2111</v>
      </c>
      <c r="F730" s="154" t="str">
        <f>IF(wskakunin_kanri9_ZIP="", "", wskakunin_kanri9_ZIP)</f>
        <v/>
      </c>
      <c r="H730" s="17"/>
    </row>
    <row r="731" spans="1:8" ht="15" customHeight="1">
      <c r="A731" s="60"/>
      <c r="B731" s="72" t="s">
        <v>17</v>
      </c>
      <c r="C731" s="14" t="s">
        <v>2112</v>
      </c>
      <c r="D731" s="154"/>
      <c r="E731" s="14" t="s">
        <v>2113</v>
      </c>
      <c r="F731" s="154" t="str">
        <f>IF(wskakunin_kanri9__address="", "", wskakunin_kanri9__address)</f>
        <v/>
      </c>
      <c r="H731" s="17"/>
    </row>
    <row r="732" spans="1:8" ht="15" customHeight="1">
      <c r="A732" s="60"/>
      <c r="B732" s="72" t="s">
        <v>14</v>
      </c>
      <c r="C732" s="14" t="s">
        <v>2114</v>
      </c>
      <c r="D732" s="240"/>
      <c r="E732" s="14" t="s">
        <v>2115</v>
      </c>
      <c r="F732" s="154" t="str">
        <f>IF(wskakunin_kanri9_TEL="", "", wskakunin_kanri9_TEL)</f>
        <v/>
      </c>
      <c r="H732" s="17"/>
    </row>
    <row r="733" spans="1:8" ht="15" customHeight="1">
      <c r="A733" s="60"/>
      <c r="B733" s="72" t="s">
        <v>666</v>
      </c>
      <c r="C733" s="14" t="s">
        <v>2116</v>
      </c>
      <c r="D733" s="240"/>
      <c r="E733" s="14" t="s">
        <v>2117</v>
      </c>
      <c r="F733" s="154" t="str">
        <f>IF(wskakunin_kanri9_DOC="","",wskakunin_kanri9_DOC)</f>
        <v/>
      </c>
      <c r="H733" s="17"/>
    </row>
    <row r="734" spans="1:8" ht="15" customHeight="1">
      <c r="A734" s="44"/>
      <c r="B734" s="75"/>
      <c r="H734" s="17"/>
    </row>
    <row r="735" spans="1:8" ht="15" customHeight="1">
      <c r="A735" s="45" t="s">
        <v>2179</v>
      </c>
      <c r="B735" s="44" t="s">
        <v>1977</v>
      </c>
      <c r="H735" s="17"/>
    </row>
    <row r="736" spans="1:8" ht="15" customHeight="1">
      <c r="A736" s="27"/>
      <c r="B736" s="72" t="s">
        <v>627</v>
      </c>
      <c r="C736" s="14" t="s">
        <v>2118</v>
      </c>
      <c r="D736" s="154"/>
      <c r="E736" s="14" t="s">
        <v>2119</v>
      </c>
      <c r="F736" s="154" t="str">
        <f>IF(wskakunin_kanri10__sikaku="", "", wskakunin_kanri10__sikaku)</f>
        <v/>
      </c>
      <c r="H736" s="17"/>
    </row>
    <row r="737" spans="1:8" ht="15" customHeight="1">
      <c r="A737" s="27"/>
      <c r="B737" s="72" t="s">
        <v>628</v>
      </c>
      <c r="C737" s="14" t="s">
        <v>2120</v>
      </c>
      <c r="D737" s="154"/>
      <c r="E737" s="14" t="s">
        <v>2121</v>
      </c>
      <c r="F737" s="154" t="str">
        <f>IF(wskakunin_kanri10_SIKAKU__label="", "", wskakunin_kanri10_SIKAKU__label)</f>
        <v/>
      </c>
      <c r="H737" s="17"/>
    </row>
    <row r="738" spans="1:8" ht="15" customHeight="1">
      <c r="A738" s="32"/>
      <c r="B738" s="78" t="s">
        <v>623</v>
      </c>
      <c r="C738" s="14" t="s">
        <v>2122</v>
      </c>
      <c r="D738" s="154"/>
      <c r="E738" s="14" t="s">
        <v>2123</v>
      </c>
      <c r="F738" s="154" t="str">
        <f>IF(wskakunin_kanri10_TOUROKU_KIKAN__label="","",wskakunin_kanri10_TOUROKU_KIKAN__label)</f>
        <v/>
      </c>
      <c r="H738" s="17"/>
    </row>
    <row r="739" spans="1:8" ht="15" customHeight="1">
      <c r="A739" s="32"/>
      <c r="B739" s="78" t="s">
        <v>624</v>
      </c>
      <c r="C739" s="14" t="s">
        <v>2124</v>
      </c>
      <c r="D739" s="240"/>
      <c r="E739" s="14" t="s">
        <v>2125</v>
      </c>
      <c r="F739" s="154" t="str">
        <f>IF(wskakunin_kanri10_KENTIKUSI_NO="","",wskakunin_kanri10_KENTIKUSI_NO)</f>
        <v/>
      </c>
      <c r="H739" s="17"/>
    </row>
    <row r="740" spans="1:8" ht="15" customHeight="1">
      <c r="A740" s="60"/>
      <c r="B740" s="72" t="s">
        <v>11</v>
      </c>
      <c r="C740" s="14" t="s">
        <v>2126</v>
      </c>
      <c r="D740" s="154"/>
      <c r="E740" s="14" t="s">
        <v>2127</v>
      </c>
      <c r="F740" s="154" t="str">
        <f>IF(wskakunin_kanri10_NAME="", "", wskakunin_kanri10_NAME)</f>
        <v/>
      </c>
      <c r="H740" s="17"/>
    </row>
    <row r="741" spans="1:8" ht="15" customHeight="1">
      <c r="A741" s="60"/>
      <c r="B741" s="72" t="s">
        <v>629</v>
      </c>
      <c r="C741" s="14" t="s">
        <v>2128</v>
      </c>
      <c r="D741" s="154"/>
      <c r="E741" s="14" t="s">
        <v>2129</v>
      </c>
      <c r="F741" s="154" t="str">
        <f>IF(wskakunin_kanri10_JIMU__sikaku="", "", wskakunin_kanri10_JIMU__sikaku)</f>
        <v/>
      </c>
      <c r="H741" s="17"/>
    </row>
    <row r="742" spans="1:8" ht="15" customHeight="1">
      <c r="A742" s="44"/>
      <c r="B742" s="78" t="s">
        <v>121</v>
      </c>
      <c r="C742" s="14" t="s">
        <v>2130</v>
      </c>
      <c r="D742" s="154"/>
      <c r="E742" s="14" t="s">
        <v>2131</v>
      </c>
      <c r="F742" s="154" t="str">
        <f>IF(wskakunin_kanri10_JIMU_SIKAKU__label="","",wskakunin_kanri10_JIMU_SIKAKU__label)</f>
        <v/>
      </c>
      <c r="H742" s="17"/>
    </row>
    <row r="743" spans="1:8" ht="15" customHeight="1">
      <c r="A743" s="44"/>
      <c r="B743" s="78" t="s">
        <v>630</v>
      </c>
      <c r="C743" s="14" t="s">
        <v>2132</v>
      </c>
      <c r="D743" s="154"/>
      <c r="E743" s="14" t="s">
        <v>2133</v>
      </c>
      <c r="F743" s="154" t="str">
        <f>IF(wskakunin_kanri10_JIMU_TOUROKU_KIKAN__label="","",wskakunin_kanri10_JIMU_TOUROKU_KIKAN__label)</f>
        <v/>
      </c>
      <c r="H743" s="17"/>
    </row>
    <row r="744" spans="1:8" ht="15" customHeight="1">
      <c r="A744" s="44"/>
      <c r="B744" s="78" t="s">
        <v>631</v>
      </c>
      <c r="C744" s="14" t="s">
        <v>2134</v>
      </c>
      <c r="D744" s="240"/>
      <c r="E744" s="14" t="s">
        <v>2135</v>
      </c>
      <c r="F744" s="154" t="str">
        <f>IF(wskakunin_kanri10_JIMU_NO="","",wskakunin_kanri10_JIMU_NO)</f>
        <v/>
      </c>
      <c r="H744" s="17"/>
    </row>
    <row r="745" spans="1:8" ht="15" customHeight="1">
      <c r="A745" s="60"/>
      <c r="B745" s="72" t="s">
        <v>122</v>
      </c>
      <c r="C745" s="14" t="s">
        <v>2136</v>
      </c>
      <c r="D745" s="154"/>
      <c r="E745" s="14" t="s">
        <v>2137</v>
      </c>
      <c r="F745" s="154" t="str">
        <f>IF(wskakunin_kanri10_JIMU_NAME="", "", wskakunin_kanri10_JIMU_NAME)</f>
        <v/>
      </c>
      <c r="H745" s="17"/>
    </row>
    <row r="746" spans="1:8" ht="15" customHeight="1">
      <c r="A746" s="60"/>
      <c r="B746" s="72" t="s">
        <v>12</v>
      </c>
      <c r="C746" s="14" t="s">
        <v>2138</v>
      </c>
      <c r="D746" s="240"/>
      <c r="E746" s="14" t="s">
        <v>2139</v>
      </c>
      <c r="F746" s="154" t="str">
        <f>IF(wskakunin_kanri10_ZIP="", "", wskakunin_kanri10_ZIP)</f>
        <v/>
      </c>
      <c r="H746" s="17"/>
    </row>
    <row r="747" spans="1:8" ht="15" customHeight="1">
      <c r="A747" s="60"/>
      <c r="B747" s="72" t="s">
        <v>17</v>
      </c>
      <c r="C747" s="14" t="s">
        <v>2140</v>
      </c>
      <c r="D747" s="154"/>
      <c r="E747" s="14" t="s">
        <v>2141</v>
      </c>
      <c r="F747" s="154" t="str">
        <f>IF(wskakunin_kanri10__address="", "", wskakunin_kanri10__address)</f>
        <v/>
      </c>
      <c r="H747" s="17"/>
    </row>
    <row r="748" spans="1:8" ht="15" customHeight="1">
      <c r="A748" s="60"/>
      <c r="B748" s="72" t="s">
        <v>14</v>
      </c>
      <c r="C748" s="14" t="s">
        <v>2142</v>
      </c>
      <c r="D748" s="240"/>
      <c r="E748" s="14" t="s">
        <v>2143</v>
      </c>
      <c r="F748" s="154" t="str">
        <f>IF(wskakunin_kanri10_TEL="", "", wskakunin_kanri10_TEL)</f>
        <v/>
      </c>
      <c r="H748" s="17"/>
    </row>
    <row r="749" spans="1:8" ht="15" customHeight="1">
      <c r="A749" s="60"/>
      <c r="B749" s="72" t="s">
        <v>666</v>
      </c>
      <c r="C749" s="14" t="s">
        <v>2144</v>
      </c>
      <c r="D749" s="240"/>
      <c r="E749" s="14" t="s">
        <v>2145</v>
      </c>
      <c r="F749" s="154" t="str">
        <f>IF(wskakunin_kanri10_DOC="","",wskakunin_kanri10_DOC)</f>
        <v/>
      </c>
      <c r="H749" s="17"/>
    </row>
    <row r="750" spans="1:8" ht="15" customHeight="1">
      <c r="A750" s="44"/>
      <c r="B750" s="75"/>
      <c r="H750" s="17"/>
    </row>
    <row r="751" spans="1:8" ht="15" customHeight="1">
      <c r="A751" s="45" t="s">
        <v>2180</v>
      </c>
      <c r="B751" s="44" t="s">
        <v>1977</v>
      </c>
      <c r="H751" s="17"/>
    </row>
    <row r="752" spans="1:8" ht="15" customHeight="1">
      <c r="A752" s="27"/>
      <c r="B752" s="72" t="s">
        <v>627</v>
      </c>
      <c r="C752" s="14" t="s">
        <v>2146</v>
      </c>
      <c r="D752" s="154"/>
      <c r="E752" s="14" t="s">
        <v>2147</v>
      </c>
      <c r="F752" s="154" t="str">
        <f>IF(wskakunin_kanri11__sikaku="", "", wskakunin_kanri11__sikaku)</f>
        <v/>
      </c>
      <c r="H752" s="17"/>
    </row>
    <row r="753" spans="1:8" ht="15" customHeight="1">
      <c r="A753" s="27"/>
      <c r="B753" s="72" t="s">
        <v>628</v>
      </c>
      <c r="C753" s="14" t="s">
        <v>2148</v>
      </c>
      <c r="D753" s="154"/>
      <c r="E753" s="14" t="s">
        <v>2149</v>
      </c>
      <c r="F753" s="154" t="str">
        <f>IF(wskakunin_kanri11_SIKAKU__label="", "", wskakunin_kanri11_SIKAKU__label)</f>
        <v/>
      </c>
      <c r="H753" s="17"/>
    </row>
    <row r="754" spans="1:8" ht="15" customHeight="1">
      <c r="A754" s="32"/>
      <c r="B754" s="78" t="s">
        <v>623</v>
      </c>
      <c r="C754" s="14" t="s">
        <v>2150</v>
      </c>
      <c r="D754" s="154"/>
      <c r="E754" s="14" t="s">
        <v>2151</v>
      </c>
      <c r="F754" s="154" t="str">
        <f>IF(wskakunin_kanri11_TOUROKU_KIKAN__label="","",wskakunin_kanri11_TOUROKU_KIKAN__label)</f>
        <v/>
      </c>
      <c r="H754" s="17"/>
    </row>
    <row r="755" spans="1:8" ht="15" customHeight="1">
      <c r="A755" s="32"/>
      <c r="B755" s="78" t="s">
        <v>624</v>
      </c>
      <c r="C755" s="14" t="s">
        <v>2152</v>
      </c>
      <c r="D755" s="240"/>
      <c r="E755" s="14" t="s">
        <v>2153</v>
      </c>
      <c r="F755" s="154" t="str">
        <f>IF(wskakunin_kanri11_KENTIKUSI_NO="","",wskakunin_kanri11_KENTIKUSI_NO)</f>
        <v/>
      </c>
      <c r="H755" s="17"/>
    </row>
    <row r="756" spans="1:8" ht="15" customHeight="1">
      <c r="A756" s="60"/>
      <c r="B756" s="72" t="s">
        <v>11</v>
      </c>
      <c r="C756" s="14" t="s">
        <v>2154</v>
      </c>
      <c r="D756" s="154"/>
      <c r="E756" s="14" t="s">
        <v>2155</v>
      </c>
      <c r="F756" s="154" t="str">
        <f>IF(wskakunin_kanri11_NAME="", "", wskakunin_kanri11_NAME)</f>
        <v/>
      </c>
      <c r="H756" s="17"/>
    </row>
    <row r="757" spans="1:8" ht="15" customHeight="1">
      <c r="A757" s="60"/>
      <c r="B757" s="72" t="s">
        <v>629</v>
      </c>
      <c r="C757" s="14" t="s">
        <v>2156</v>
      </c>
      <c r="D757" s="154"/>
      <c r="E757" s="14" t="s">
        <v>2157</v>
      </c>
      <c r="F757" s="154" t="str">
        <f>IF(wskakunin_kanri11_JIMU__sikaku="", "", wskakunin_kanri11_JIMU__sikaku)</f>
        <v/>
      </c>
      <c r="H757" s="17"/>
    </row>
    <row r="758" spans="1:8" ht="15" customHeight="1">
      <c r="A758" s="44"/>
      <c r="B758" s="78" t="s">
        <v>121</v>
      </c>
      <c r="C758" s="14" t="s">
        <v>2158</v>
      </c>
      <c r="D758" s="154"/>
      <c r="E758" s="14" t="s">
        <v>2159</v>
      </c>
      <c r="F758" s="154" t="str">
        <f>IF(wskakunin_kanri11_JIMU_SIKAKU__label="","",wskakunin_kanri11_JIMU_SIKAKU__label)</f>
        <v/>
      </c>
      <c r="H758" s="17"/>
    </row>
    <row r="759" spans="1:8" ht="15" customHeight="1">
      <c r="A759" s="44"/>
      <c r="B759" s="78" t="s">
        <v>630</v>
      </c>
      <c r="C759" s="14" t="s">
        <v>2160</v>
      </c>
      <c r="D759" s="154"/>
      <c r="E759" s="14" t="s">
        <v>2161</v>
      </c>
      <c r="F759" s="154" t="str">
        <f>IF(wskakunin_kanri11_JIMU_TOUROKU_KIKAN__label="","",wskakunin_kanri11_JIMU_TOUROKU_KIKAN__label)</f>
        <v/>
      </c>
      <c r="H759" s="17"/>
    </row>
    <row r="760" spans="1:8" ht="15" customHeight="1">
      <c r="A760" s="44"/>
      <c r="B760" s="78" t="s">
        <v>631</v>
      </c>
      <c r="C760" s="14" t="s">
        <v>2162</v>
      </c>
      <c r="D760" s="240"/>
      <c r="E760" s="14" t="s">
        <v>2163</v>
      </c>
      <c r="F760" s="154" t="str">
        <f>IF(wskakunin_kanri11_JIMU_NO="","",wskakunin_kanri11_JIMU_NO)</f>
        <v/>
      </c>
      <c r="H760" s="17"/>
    </row>
    <row r="761" spans="1:8" ht="15" customHeight="1">
      <c r="A761" s="60"/>
      <c r="B761" s="72" t="s">
        <v>122</v>
      </c>
      <c r="C761" s="14" t="s">
        <v>2164</v>
      </c>
      <c r="D761" s="154"/>
      <c r="E761" s="14" t="s">
        <v>2165</v>
      </c>
      <c r="F761" s="154" t="str">
        <f>IF(wskakunin_kanri11_JIMU_NAME="", "", wskakunin_kanri11_JIMU_NAME)</f>
        <v/>
      </c>
      <c r="H761" s="17"/>
    </row>
    <row r="762" spans="1:8" ht="15" customHeight="1">
      <c r="A762" s="60"/>
      <c r="B762" s="72" t="s">
        <v>12</v>
      </c>
      <c r="C762" s="14" t="s">
        <v>2166</v>
      </c>
      <c r="D762" s="240"/>
      <c r="E762" s="14" t="s">
        <v>2167</v>
      </c>
      <c r="F762" s="154" t="str">
        <f>IF(wskakunin_kanri11_ZIP="", "", wskakunin_kanri11_ZIP)</f>
        <v/>
      </c>
      <c r="H762" s="17"/>
    </row>
    <row r="763" spans="1:8" ht="15" customHeight="1">
      <c r="A763" s="60"/>
      <c r="B763" s="72" t="s">
        <v>17</v>
      </c>
      <c r="C763" s="14" t="s">
        <v>2168</v>
      </c>
      <c r="D763" s="154"/>
      <c r="E763" s="14" t="s">
        <v>2169</v>
      </c>
      <c r="F763" s="154" t="str">
        <f>IF(wskakunin_kanri11__address="", "", wskakunin_kanri11__address)</f>
        <v/>
      </c>
      <c r="H763" s="17"/>
    </row>
    <row r="764" spans="1:8" ht="15" customHeight="1">
      <c r="A764" s="60"/>
      <c r="B764" s="72" t="s">
        <v>14</v>
      </c>
      <c r="C764" s="14" t="s">
        <v>2170</v>
      </c>
      <c r="D764" s="240"/>
      <c r="E764" s="14" t="s">
        <v>2171</v>
      </c>
      <c r="F764" s="154" t="str">
        <f>IF(wskakunin_kanri11_TEL="", "", wskakunin_kanri11_TEL)</f>
        <v/>
      </c>
      <c r="H764" s="17"/>
    </row>
    <row r="765" spans="1:8" ht="15" customHeight="1">
      <c r="A765" s="60"/>
      <c r="B765" s="72" t="s">
        <v>666</v>
      </c>
      <c r="C765" s="14" t="s">
        <v>2172</v>
      </c>
      <c r="D765" s="240"/>
      <c r="E765" s="14" t="s">
        <v>2173</v>
      </c>
      <c r="F765" s="154" t="str">
        <f>IF(wskakunin_kanri11_DOC="","",wskakunin_kanri11_DOC)</f>
        <v/>
      </c>
      <c r="H765" s="17"/>
    </row>
    <row r="766" spans="1:8" ht="15" customHeight="1">
      <c r="A766" s="44"/>
      <c r="B766" s="75"/>
      <c r="G766" s="17"/>
      <c r="H766" s="17"/>
    </row>
    <row r="767" spans="1:8" ht="15" customHeight="1">
      <c r="A767" s="45" t="s">
        <v>2299</v>
      </c>
      <c r="B767" s="44" t="s">
        <v>1977</v>
      </c>
      <c r="H767" s="17"/>
    </row>
    <row r="768" spans="1:8" ht="15" customHeight="1">
      <c r="A768" s="27"/>
      <c r="B768" s="72" t="s">
        <v>627</v>
      </c>
      <c r="C768" s="14" t="s">
        <v>2300</v>
      </c>
      <c r="D768" s="154"/>
      <c r="E768" s="14" t="s">
        <v>2301</v>
      </c>
      <c r="F768" s="154" t="str">
        <f>IF(wskakunin_kanri12__sikaku="", "", wskakunin_kanri12__sikaku)</f>
        <v/>
      </c>
      <c r="H768" s="17"/>
    </row>
    <row r="769" spans="1:8" ht="15" customHeight="1">
      <c r="A769" s="27"/>
      <c r="B769" s="72" t="s">
        <v>628</v>
      </c>
      <c r="C769" s="14" t="s">
        <v>2302</v>
      </c>
      <c r="D769" s="154"/>
      <c r="E769" s="14" t="s">
        <v>2303</v>
      </c>
      <c r="F769" s="154" t="str">
        <f>IF(wskakunin_kanri12_SIKAKU__label="", "", wskakunin_kanri12_SIKAKU__label)</f>
        <v/>
      </c>
      <c r="H769" s="17"/>
    </row>
    <row r="770" spans="1:8" ht="15" customHeight="1">
      <c r="A770" s="32"/>
      <c r="B770" s="78" t="s">
        <v>623</v>
      </c>
      <c r="C770" s="14" t="s">
        <v>2304</v>
      </c>
      <c r="D770" s="154"/>
      <c r="E770" s="14" t="s">
        <v>2305</v>
      </c>
      <c r="F770" s="154" t="str">
        <f>IF(wskakunin_kanri12_TOUROKU_KIKAN__label="","",wskakunin_kanri12_TOUROKU_KIKAN__label)</f>
        <v/>
      </c>
      <c r="H770" s="17"/>
    </row>
    <row r="771" spans="1:8" ht="15" customHeight="1">
      <c r="A771" s="32"/>
      <c r="B771" s="78" t="s">
        <v>624</v>
      </c>
      <c r="C771" s="14" t="s">
        <v>2306</v>
      </c>
      <c r="D771" s="240"/>
      <c r="E771" s="14" t="s">
        <v>2307</v>
      </c>
      <c r="F771" s="154" t="str">
        <f>IF(wskakunin_kanri12_KENTIKUSI_NO="","",wskakunin_kanri12_KENTIKUSI_NO)</f>
        <v/>
      </c>
      <c r="H771" s="17"/>
    </row>
    <row r="772" spans="1:8" ht="15" customHeight="1">
      <c r="A772" s="60"/>
      <c r="B772" s="72" t="s">
        <v>11</v>
      </c>
      <c r="C772" s="14" t="s">
        <v>2308</v>
      </c>
      <c r="D772" s="154"/>
      <c r="E772" s="14" t="s">
        <v>2309</v>
      </c>
      <c r="F772" s="154" t="str">
        <f>IF(wskakunin_kanri12_NAME="", "", wskakunin_kanri12_NAME)</f>
        <v/>
      </c>
      <c r="H772" s="17"/>
    </row>
    <row r="773" spans="1:8" ht="15" customHeight="1">
      <c r="A773" s="60"/>
      <c r="B773" s="72" t="s">
        <v>629</v>
      </c>
      <c r="C773" s="14" t="s">
        <v>2310</v>
      </c>
      <c r="D773" s="154"/>
      <c r="E773" s="14" t="s">
        <v>2311</v>
      </c>
      <c r="F773" s="154" t="str">
        <f>IF(wskakunin_kanri12_JIMU__sikaku="", "", wskakunin_kanri12_JIMU__sikaku)</f>
        <v/>
      </c>
      <c r="H773" s="17"/>
    </row>
    <row r="774" spans="1:8" ht="15" customHeight="1">
      <c r="A774" s="44"/>
      <c r="B774" s="78" t="s">
        <v>121</v>
      </c>
      <c r="C774" s="14" t="s">
        <v>2312</v>
      </c>
      <c r="D774" s="154"/>
      <c r="E774" s="14" t="s">
        <v>2313</v>
      </c>
      <c r="F774" s="154" t="str">
        <f>IF(wskakunin_kanri12_JIMU_SIKAKU__label="","",wskakunin_kanri12_JIMU_SIKAKU__label)</f>
        <v/>
      </c>
      <c r="H774" s="17"/>
    </row>
    <row r="775" spans="1:8" ht="15" customHeight="1">
      <c r="A775" s="44"/>
      <c r="B775" s="78" t="s">
        <v>630</v>
      </c>
      <c r="C775" s="14" t="s">
        <v>2314</v>
      </c>
      <c r="D775" s="154"/>
      <c r="E775" s="14" t="s">
        <v>2315</v>
      </c>
      <c r="F775" s="154" t="str">
        <f>IF(wskakunin_kanri12_JIMU_TOUROKU_KIKAN__label="","",wskakunin_kanri12_JIMU_TOUROKU_KIKAN__label)</f>
        <v/>
      </c>
      <c r="H775" s="17"/>
    </row>
    <row r="776" spans="1:8" ht="15" customHeight="1">
      <c r="A776" s="44"/>
      <c r="B776" s="78" t="s">
        <v>631</v>
      </c>
      <c r="C776" s="14" t="s">
        <v>2316</v>
      </c>
      <c r="D776" s="240"/>
      <c r="E776" s="14" t="s">
        <v>2317</v>
      </c>
      <c r="F776" s="154" t="str">
        <f>IF(wskakunin_kanri12_JIMU_NO="","",wskakunin_kanri12_JIMU_NO)</f>
        <v/>
      </c>
      <c r="H776" s="17"/>
    </row>
    <row r="777" spans="1:8" ht="15" customHeight="1">
      <c r="A777" s="60"/>
      <c r="B777" s="72" t="s">
        <v>122</v>
      </c>
      <c r="C777" s="14" t="s">
        <v>2318</v>
      </c>
      <c r="D777" s="154"/>
      <c r="E777" s="14" t="s">
        <v>2319</v>
      </c>
      <c r="F777" s="154" t="str">
        <f>IF(wskakunin_kanri12_JIMU_NAME="", "", wskakunin_kanri12_JIMU_NAME)</f>
        <v/>
      </c>
      <c r="H777" s="17"/>
    </row>
    <row r="778" spans="1:8" ht="15" customHeight="1">
      <c r="A778" s="60"/>
      <c r="B778" s="72" t="s">
        <v>12</v>
      </c>
      <c r="C778" s="14" t="s">
        <v>2320</v>
      </c>
      <c r="D778" s="240"/>
      <c r="E778" s="14" t="s">
        <v>2321</v>
      </c>
      <c r="F778" s="154" t="str">
        <f>IF(wskakunin_kanri12_ZIP="", "", wskakunin_kanri12_ZIP)</f>
        <v/>
      </c>
      <c r="H778" s="17"/>
    </row>
    <row r="779" spans="1:8" ht="15" customHeight="1">
      <c r="A779" s="60"/>
      <c r="B779" s="72" t="s">
        <v>17</v>
      </c>
      <c r="C779" s="14" t="s">
        <v>2322</v>
      </c>
      <c r="D779" s="154"/>
      <c r="E779" s="14" t="s">
        <v>2323</v>
      </c>
      <c r="F779" s="154" t="str">
        <f>IF(wskakunin_kanri12__address="", "", wskakunin_kanri12__address)</f>
        <v/>
      </c>
      <c r="H779" s="17"/>
    </row>
    <row r="780" spans="1:8" ht="15" customHeight="1">
      <c r="A780" s="60"/>
      <c r="B780" s="72" t="s">
        <v>14</v>
      </c>
      <c r="C780" s="14" t="s">
        <v>2324</v>
      </c>
      <c r="D780" s="240"/>
      <c r="E780" s="14" t="s">
        <v>2325</v>
      </c>
      <c r="F780" s="154" t="str">
        <f>IF(wskakunin_kanri12_TEL="", "", wskakunin_kanri12_TEL)</f>
        <v/>
      </c>
      <c r="H780" s="17"/>
    </row>
    <row r="781" spans="1:8" ht="15" customHeight="1">
      <c r="A781" s="60"/>
      <c r="B781" s="72" t="s">
        <v>666</v>
      </c>
      <c r="C781" s="14" t="s">
        <v>2326</v>
      </c>
      <c r="D781" s="240"/>
      <c r="E781" s="14" t="s">
        <v>2327</v>
      </c>
      <c r="F781" s="154" t="str">
        <f>IF(wskakunin_kanri12_DOC="","",wskakunin_kanri12_DOC)</f>
        <v/>
      </c>
      <c r="H781" s="17"/>
    </row>
    <row r="782" spans="1:8" ht="15" customHeight="1">
      <c r="A782" s="44"/>
      <c r="B782" s="75"/>
      <c r="G782" s="17"/>
      <c r="H782" s="17"/>
    </row>
    <row r="783" spans="1:8" ht="15" customHeight="1">
      <c r="A783" s="52" t="s">
        <v>129</v>
      </c>
      <c r="B783" s="53"/>
      <c r="D783" s="17"/>
      <c r="G783" s="17"/>
      <c r="H783" s="17"/>
    </row>
    <row r="784" spans="1:8" ht="15" customHeight="1">
      <c r="A784" s="61"/>
      <c r="B784" s="77" t="s">
        <v>11</v>
      </c>
      <c r="C784" s="14" t="s">
        <v>945</v>
      </c>
      <c r="D784" s="246" t="s">
        <v>3287</v>
      </c>
      <c r="E784" s="14" t="s">
        <v>946</v>
      </c>
      <c r="F784" s="246" t="str">
        <f>IF(wskakunin_sekou1_NAME="", "", wskakunin_sekou1_NAME)</f>
        <v>代表取締役　山田　耕治</v>
      </c>
      <c r="G784" s="17"/>
      <c r="H784" s="17"/>
    </row>
    <row r="785" spans="1:8" ht="15" customHeight="1">
      <c r="A785" s="61"/>
      <c r="B785" s="77" t="s">
        <v>1471</v>
      </c>
      <c r="C785" s="14" t="s">
        <v>947</v>
      </c>
      <c r="D785" s="246" t="s">
        <v>3288</v>
      </c>
      <c r="E785" s="14" t="s">
        <v>948</v>
      </c>
      <c r="F785" s="246" t="str">
        <f>IF(wskakunin_sekou1_SEKOU__sikaku="", "", wskakunin_sekou1_SEKOU__sikaku)</f>
        <v>静岡県知事第(般-4)5640号</v>
      </c>
      <c r="G785" s="17"/>
      <c r="H785" s="17"/>
    </row>
    <row r="786" spans="1:8" ht="15" customHeight="1">
      <c r="A786" s="61"/>
      <c r="B786" s="77" t="s">
        <v>679</v>
      </c>
      <c r="C786" s="14" t="s">
        <v>1474</v>
      </c>
      <c r="D786" s="246" t="s">
        <v>333</v>
      </c>
      <c r="E786" s="14" t="s">
        <v>1472</v>
      </c>
      <c r="F786" s="246" t="str">
        <f>IF(wskakunin_sekou1_SEKOU_SIKAKU__label="", "",wskakunin_sekou1_SEKOU_SIKAKU__label)</f>
        <v>静岡県知事</v>
      </c>
      <c r="G786" s="17"/>
      <c r="H786" s="17"/>
    </row>
    <row r="787" spans="1:8" ht="15" customHeight="1">
      <c r="A787" s="61"/>
      <c r="B787" s="77" t="s">
        <v>680</v>
      </c>
      <c r="C787" s="14" t="s">
        <v>1470</v>
      </c>
      <c r="D787" s="248" t="s">
        <v>3289</v>
      </c>
      <c r="E787" s="14" t="s">
        <v>1473</v>
      </c>
      <c r="F787" s="246" t="str">
        <f>IF(wskakunin_sekou1_SEKOU_NO="","",wskakunin_sekou1_SEKOU_NO)</f>
        <v>(般-4)5640</v>
      </c>
      <c r="G787" s="17"/>
      <c r="H787" s="17"/>
    </row>
    <row r="788" spans="1:8" ht="15" customHeight="1">
      <c r="A788" s="61"/>
      <c r="B788" s="77" t="s">
        <v>24</v>
      </c>
      <c r="C788" s="14" t="s">
        <v>949</v>
      </c>
      <c r="D788" s="246" t="s">
        <v>3286</v>
      </c>
      <c r="E788" s="14" t="s">
        <v>950</v>
      </c>
      <c r="F788" s="246" t="str">
        <f>IF(wskakunin_sekou1_JIMU_NAME="", "", wskakunin_sekou1_JIMU_NAME)</f>
        <v>株式会社　山田工務店</v>
      </c>
      <c r="G788" s="17"/>
      <c r="H788" s="17"/>
    </row>
    <row r="789" spans="1:8" ht="15" customHeight="1">
      <c r="A789" s="61"/>
      <c r="B789" s="77" t="s">
        <v>12</v>
      </c>
      <c r="C789" s="14" t="s">
        <v>951</v>
      </c>
      <c r="D789" s="248" t="s">
        <v>3276</v>
      </c>
      <c r="E789" s="14" t="s">
        <v>952</v>
      </c>
      <c r="F789" s="246" t="str">
        <f>IF(wskakunin_sekou1_ZIP="", "", wskakunin_sekou1_ZIP)</f>
        <v>425-0074</v>
      </c>
      <c r="G789" s="17"/>
      <c r="H789" s="17"/>
    </row>
    <row r="790" spans="1:8" ht="15" customHeight="1">
      <c r="A790" s="61"/>
      <c r="B790" s="77" t="s">
        <v>17</v>
      </c>
      <c r="C790" s="14" t="s">
        <v>953</v>
      </c>
      <c r="D790" s="246" t="s">
        <v>3268</v>
      </c>
      <c r="E790" s="14" t="s">
        <v>954</v>
      </c>
      <c r="F790" s="246" t="str">
        <f>IF(wskakunin_sekou1__address="", "", wskakunin_sekou1__address)</f>
        <v>静岡県焼津市柳新屋648-2</v>
      </c>
      <c r="G790" s="17"/>
      <c r="H790" s="17"/>
    </row>
    <row r="791" spans="1:8" ht="15" customHeight="1">
      <c r="A791" s="61"/>
      <c r="B791" s="77" t="s">
        <v>14</v>
      </c>
      <c r="C791" s="14" t="s">
        <v>955</v>
      </c>
      <c r="D791" s="248" t="s">
        <v>3290</v>
      </c>
      <c r="E791" s="14" t="s">
        <v>956</v>
      </c>
      <c r="F791" s="246" t="str">
        <f>IF(wskakunin_sekou1_TEL="", "", wskakunin_sekou1_TEL)</f>
        <v>054-621-3838</v>
      </c>
      <c r="G791" s="17"/>
      <c r="H791" s="17"/>
    </row>
    <row r="792" spans="1:8" ht="15" customHeight="1">
      <c r="A792" s="61"/>
      <c r="B792" s="77" t="s">
        <v>2657</v>
      </c>
      <c r="D792" s="34"/>
      <c r="E792" s="14" t="s">
        <v>2658</v>
      </c>
      <c r="F792" s="246">
        <f>IF(AND(cst_wskakunin_sekou1_NAME="",cst_wskakunin_sekou1_SEKOU__sikaku="",cst_wskakunin_sekou1_SEKOU_SIKAKU="",cst_wskakunin_sekou1_SEKOU_NO="",cst_wskakunin_sekou1_JIMU_NAME="",cst_wskakunin_sekou1_ZIP="",cst_wskakunin_sekou1__address="",cst_wskakunin_sekou1_TEL=""),1,2)</f>
        <v>2</v>
      </c>
      <c r="G792" s="17" t="s">
        <v>2659</v>
      </c>
      <c r="H792" s="17"/>
    </row>
    <row r="793" spans="1:8" ht="15" customHeight="1">
      <c r="A793" s="52" t="s">
        <v>2261</v>
      </c>
      <c r="B793" s="53"/>
      <c r="D793" s="34"/>
      <c r="F793" s="17"/>
      <c r="G793" s="17"/>
      <c r="H793" s="17"/>
    </row>
    <row r="794" spans="1:8" ht="15" customHeight="1">
      <c r="A794" s="61"/>
      <c r="B794" s="77" t="s">
        <v>11</v>
      </c>
      <c r="C794" s="14" t="s">
        <v>2181</v>
      </c>
      <c r="D794" s="246"/>
      <c r="E794" s="14" t="s">
        <v>2182</v>
      </c>
      <c r="F794" s="246" t="str">
        <f>IF(wskakunin_sekou2_NAME="", "", wskakunin_sekou2_NAME)</f>
        <v/>
      </c>
      <c r="H794" s="17"/>
    </row>
    <row r="795" spans="1:8" ht="15" customHeight="1">
      <c r="A795" s="61"/>
      <c r="B795" s="77" t="s">
        <v>1471</v>
      </c>
      <c r="C795" s="14" t="s">
        <v>2183</v>
      </c>
      <c r="D795" s="246"/>
      <c r="E795" s="14" t="s">
        <v>2184</v>
      </c>
      <c r="F795" s="246" t="str">
        <f>IF(wskakunin_sekou2_SEKOU__sikaku="", "", wskakunin_sekou2_SEKOU__sikaku)</f>
        <v/>
      </c>
      <c r="H795" s="17"/>
    </row>
    <row r="796" spans="1:8" ht="15" customHeight="1">
      <c r="A796" s="61"/>
      <c r="B796" s="77" t="s">
        <v>679</v>
      </c>
      <c r="C796" s="14" t="s">
        <v>2185</v>
      </c>
      <c r="D796" s="246"/>
      <c r="E796" s="14" t="s">
        <v>2186</v>
      </c>
      <c r="F796" s="246" t="str">
        <f>IF(wskakunin_sekou2_SEKOU_SIKAKU__label="", "",wskakunin_sekou2_SEKOU_SIKAKU__label)</f>
        <v/>
      </c>
      <c r="H796" s="17"/>
    </row>
    <row r="797" spans="1:8" ht="15" customHeight="1">
      <c r="A797" s="61"/>
      <c r="B797" s="77" t="s">
        <v>680</v>
      </c>
      <c r="C797" s="14" t="s">
        <v>2187</v>
      </c>
      <c r="D797" s="248"/>
      <c r="E797" s="14" t="s">
        <v>2188</v>
      </c>
      <c r="F797" s="246" t="str">
        <f>IF(wskakunin_sekou2_SEKOU_NO="","",wskakunin_sekou2_SEKOU_NO)</f>
        <v/>
      </c>
      <c r="H797" s="17"/>
    </row>
    <row r="798" spans="1:8" ht="15" customHeight="1">
      <c r="A798" s="61"/>
      <c r="B798" s="77" t="s">
        <v>24</v>
      </c>
      <c r="C798" s="14" t="s">
        <v>2189</v>
      </c>
      <c r="D798" s="246"/>
      <c r="E798" s="14" t="s">
        <v>2190</v>
      </c>
      <c r="F798" s="246" t="str">
        <f>IF(wskakunin_sekou2_JIMU_NAME="", "", wskakunin_sekou2_JIMU_NAME)</f>
        <v/>
      </c>
      <c r="H798" s="17"/>
    </row>
    <row r="799" spans="1:8" ht="15" customHeight="1">
      <c r="A799" s="61"/>
      <c r="B799" s="77" t="s">
        <v>12</v>
      </c>
      <c r="C799" s="14" t="s">
        <v>2191</v>
      </c>
      <c r="D799" s="248"/>
      <c r="E799" s="14" t="s">
        <v>2192</v>
      </c>
      <c r="F799" s="246" t="str">
        <f>IF(wskakunin_sekou2_ZIP="", "", wskakunin_sekou2_ZIP)</f>
        <v/>
      </c>
      <c r="H799" s="17"/>
    </row>
    <row r="800" spans="1:8" ht="15" customHeight="1">
      <c r="A800" s="61"/>
      <c r="B800" s="77" t="s">
        <v>17</v>
      </c>
      <c r="C800" s="14" t="s">
        <v>2193</v>
      </c>
      <c r="D800" s="246"/>
      <c r="E800" s="14" t="s">
        <v>2194</v>
      </c>
      <c r="F800" s="246" t="str">
        <f>IF(wskakunin_sekou2__address="", "", wskakunin_sekou2__address)</f>
        <v/>
      </c>
      <c r="H800" s="17"/>
    </row>
    <row r="801" spans="1:8" ht="15" customHeight="1">
      <c r="A801" s="61"/>
      <c r="B801" s="77" t="s">
        <v>14</v>
      </c>
      <c r="C801" s="14" t="s">
        <v>2195</v>
      </c>
      <c r="D801" s="248"/>
      <c r="E801" s="14" t="s">
        <v>2196</v>
      </c>
      <c r="F801" s="246" t="str">
        <f>IF(wskakunin_sekou2_TEL="", "", wskakunin_sekou2_TEL)</f>
        <v/>
      </c>
      <c r="H801" s="17"/>
    </row>
    <row r="802" spans="1:8" ht="15" customHeight="1">
      <c r="A802" s="61"/>
      <c r="B802" s="77"/>
      <c r="D802" s="34"/>
      <c r="F802" s="17"/>
      <c r="H802" s="17"/>
    </row>
    <row r="803" spans="1:8" ht="15" customHeight="1">
      <c r="A803" s="52" t="s">
        <v>2262</v>
      </c>
      <c r="B803" s="53"/>
      <c r="D803" s="34"/>
      <c r="F803" s="17"/>
      <c r="H803" s="17"/>
    </row>
    <row r="804" spans="1:8" ht="15" customHeight="1">
      <c r="A804" s="61"/>
      <c r="B804" s="77" t="s">
        <v>11</v>
      </c>
      <c r="C804" s="14" t="s">
        <v>2197</v>
      </c>
      <c r="D804" s="246"/>
      <c r="E804" s="14" t="s">
        <v>2198</v>
      </c>
      <c r="F804" s="246" t="str">
        <f>IF(wskakunin_sekou3_NAME="", "", wskakunin_sekou3_NAME)</f>
        <v/>
      </c>
      <c r="H804" s="17"/>
    </row>
    <row r="805" spans="1:8" ht="15" customHeight="1">
      <c r="A805" s="61"/>
      <c r="B805" s="77" t="s">
        <v>1471</v>
      </c>
      <c r="C805" s="14" t="s">
        <v>2199</v>
      </c>
      <c r="D805" s="246"/>
      <c r="E805" s="14" t="s">
        <v>2200</v>
      </c>
      <c r="F805" s="246" t="str">
        <f>IF(wskakunin_sekou3_SEKOU__sikaku="", "", wskakunin_sekou3_SEKOU__sikaku)</f>
        <v/>
      </c>
      <c r="H805" s="17"/>
    </row>
    <row r="806" spans="1:8" ht="15" customHeight="1">
      <c r="A806" s="61"/>
      <c r="B806" s="77" t="s">
        <v>679</v>
      </c>
      <c r="C806" s="14" t="s">
        <v>2201</v>
      </c>
      <c r="D806" s="246"/>
      <c r="E806" s="14" t="s">
        <v>2202</v>
      </c>
      <c r="F806" s="246" t="str">
        <f>IF(wskakunin_sekou3_SEKOU_SIKAKU__label="", "",wskakunin_sekou3_SEKOU_SIKAKU__label)</f>
        <v/>
      </c>
      <c r="H806" s="17"/>
    </row>
    <row r="807" spans="1:8" ht="15" customHeight="1">
      <c r="A807" s="61"/>
      <c r="B807" s="77" t="s">
        <v>680</v>
      </c>
      <c r="C807" s="14" t="s">
        <v>2203</v>
      </c>
      <c r="D807" s="248"/>
      <c r="E807" s="14" t="s">
        <v>2204</v>
      </c>
      <c r="F807" s="246" t="str">
        <f>IF(wskakunin_sekou3_SEKOU_NO="","",wskakunin_sekou3_SEKOU_NO)</f>
        <v/>
      </c>
      <c r="H807" s="17"/>
    </row>
    <row r="808" spans="1:8" ht="15" customHeight="1">
      <c r="A808" s="61"/>
      <c r="B808" s="77" t="s">
        <v>24</v>
      </c>
      <c r="C808" s="14" t="s">
        <v>2205</v>
      </c>
      <c r="D808" s="246"/>
      <c r="E808" s="14" t="s">
        <v>2206</v>
      </c>
      <c r="F808" s="246" t="str">
        <f>IF(wskakunin_sekou3_JIMU_NAME="", "", wskakunin_sekou3_JIMU_NAME)</f>
        <v/>
      </c>
      <c r="H808" s="17"/>
    </row>
    <row r="809" spans="1:8" ht="15" customHeight="1">
      <c r="A809" s="61"/>
      <c r="B809" s="77" t="s">
        <v>12</v>
      </c>
      <c r="C809" s="14" t="s">
        <v>2207</v>
      </c>
      <c r="D809" s="248"/>
      <c r="E809" s="14" t="s">
        <v>2208</v>
      </c>
      <c r="F809" s="246" t="str">
        <f>IF(wskakunin_sekou3_ZIP="", "", wskakunin_sekou3_ZIP)</f>
        <v/>
      </c>
      <c r="H809" s="17"/>
    </row>
    <row r="810" spans="1:8" ht="15" customHeight="1">
      <c r="A810" s="61"/>
      <c r="B810" s="77" t="s">
        <v>17</v>
      </c>
      <c r="C810" s="14" t="s">
        <v>2209</v>
      </c>
      <c r="D810" s="246"/>
      <c r="E810" s="14" t="s">
        <v>2210</v>
      </c>
      <c r="F810" s="246" t="str">
        <f>IF(wskakunin_sekou3__address="", "", wskakunin_sekou3__address)</f>
        <v/>
      </c>
      <c r="H810" s="17"/>
    </row>
    <row r="811" spans="1:8" ht="15" customHeight="1">
      <c r="A811" s="61"/>
      <c r="B811" s="77" t="s">
        <v>14</v>
      </c>
      <c r="C811" s="14" t="s">
        <v>2211</v>
      </c>
      <c r="D811" s="248"/>
      <c r="E811" s="14" t="s">
        <v>2212</v>
      </c>
      <c r="F811" s="246" t="str">
        <f>IF(wskakunin_sekou3_TEL="", "", wskakunin_sekou3_TEL)</f>
        <v/>
      </c>
      <c r="H811" s="17"/>
    </row>
    <row r="812" spans="1:8" ht="15" customHeight="1">
      <c r="A812" s="61"/>
      <c r="B812" s="77"/>
      <c r="D812" s="34"/>
      <c r="F812" s="17"/>
      <c r="H812" s="17"/>
    </row>
    <row r="813" spans="1:8" ht="15" customHeight="1">
      <c r="A813" s="52" t="s">
        <v>2263</v>
      </c>
      <c r="B813" s="53"/>
      <c r="D813" s="34"/>
      <c r="F813" s="17"/>
      <c r="H813" s="17"/>
    </row>
    <row r="814" spans="1:8" ht="15" customHeight="1">
      <c r="A814" s="61"/>
      <c r="B814" s="77" t="s">
        <v>11</v>
      </c>
      <c r="C814" s="14" t="s">
        <v>2213</v>
      </c>
      <c r="D814" s="246"/>
      <c r="E814" s="14" t="s">
        <v>2214</v>
      </c>
      <c r="F814" s="246" t="str">
        <f>IF(wskakunin_sekou4_NAME="", "", wskakunin_sekou4_NAME)</f>
        <v/>
      </c>
      <c r="H814" s="17"/>
    </row>
    <row r="815" spans="1:8" ht="15" customHeight="1">
      <c r="A815" s="61"/>
      <c r="B815" s="77" t="s">
        <v>1471</v>
      </c>
      <c r="C815" s="14" t="s">
        <v>2215</v>
      </c>
      <c r="D815" s="246"/>
      <c r="E815" s="14" t="s">
        <v>2216</v>
      </c>
      <c r="F815" s="246" t="str">
        <f>IF(wskakunin_sekou4_SEKOU__sikaku="", "", wskakunin_sekou4_SEKOU__sikaku)</f>
        <v/>
      </c>
      <c r="H815" s="17"/>
    </row>
    <row r="816" spans="1:8" ht="15" customHeight="1">
      <c r="A816" s="61"/>
      <c r="B816" s="77" t="s">
        <v>679</v>
      </c>
      <c r="C816" s="14" t="s">
        <v>2217</v>
      </c>
      <c r="D816" s="246"/>
      <c r="E816" s="14" t="s">
        <v>2218</v>
      </c>
      <c r="F816" s="246" t="str">
        <f>IF(wskakunin_sekou4_SEKOU_SIKAKU__label="", "",wskakunin_sekou4_SEKOU_SIKAKU__label)</f>
        <v/>
      </c>
      <c r="H816" s="17"/>
    </row>
    <row r="817" spans="1:8" ht="15" customHeight="1">
      <c r="A817" s="61"/>
      <c r="B817" s="77" t="s">
        <v>680</v>
      </c>
      <c r="C817" s="14" t="s">
        <v>2219</v>
      </c>
      <c r="D817" s="248"/>
      <c r="E817" s="14" t="s">
        <v>2220</v>
      </c>
      <c r="F817" s="246" t="str">
        <f>IF(wskakunin_sekou4_SEKOU_NO="","",wskakunin_sekou4_SEKOU_NO)</f>
        <v/>
      </c>
      <c r="H817" s="17"/>
    </row>
    <row r="818" spans="1:8" ht="15" customHeight="1">
      <c r="A818" s="61"/>
      <c r="B818" s="77" t="s">
        <v>24</v>
      </c>
      <c r="C818" s="14" t="s">
        <v>2221</v>
      </c>
      <c r="D818" s="246"/>
      <c r="E818" s="14" t="s">
        <v>2222</v>
      </c>
      <c r="F818" s="246" t="str">
        <f>IF(wskakunin_sekou4_JIMU_NAME="", "", wskakunin_sekou4_JIMU_NAME)</f>
        <v/>
      </c>
      <c r="H818" s="17"/>
    </row>
    <row r="819" spans="1:8" ht="15" customHeight="1">
      <c r="A819" s="61"/>
      <c r="B819" s="77" t="s">
        <v>12</v>
      </c>
      <c r="C819" s="14" t="s">
        <v>2223</v>
      </c>
      <c r="D819" s="248"/>
      <c r="E819" s="14" t="s">
        <v>2224</v>
      </c>
      <c r="F819" s="246" t="str">
        <f>IF(wskakunin_sekou4_ZIP="", "", wskakunin_sekou4_ZIP)</f>
        <v/>
      </c>
      <c r="H819" s="17"/>
    </row>
    <row r="820" spans="1:8" ht="15" customHeight="1">
      <c r="A820" s="61"/>
      <c r="B820" s="77" t="s">
        <v>17</v>
      </c>
      <c r="C820" s="14" t="s">
        <v>2225</v>
      </c>
      <c r="D820" s="246"/>
      <c r="E820" s="14" t="s">
        <v>2226</v>
      </c>
      <c r="F820" s="246" t="str">
        <f>IF(wskakunin_sekou4__address="", "", wskakunin_sekou4__address)</f>
        <v/>
      </c>
      <c r="H820" s="17"/>
    </row>
    <row r="821" spans="1:8" ht="15" customHeight="1">
      <c r="A821" s="61"/>
      <c r="B821" s="77" t="s">
        <v>14</v>
      </c>
      <c r="C821" s="14" t="s">
        <v>2227</v>
      </c>
      <c r="D821" s="248"/>
      <c r="E821" s="14" t="s">
        <v>2228</v>
      </c>
      <c r="F821" s="246" t="str">
        <f>IF(wskakunin_sekou4_TEL="", "", wskakunin_sekou4_TEL)</f>
        <v/>
      </c>
      <c r="H821" s="17"/>
    </row>
    <row r="822" spans="1:8" ht="15" customHeight="1">
      <c r="A822" s="61"/>
      <c r="B822" s="77"/>
      <c r="D822" s="34"/>
      <c r="F822" s="17"/>
      <c r="H822" s="17"/>
    </row>
    <row r="823" spans="1:8" ht="15" customHeight="1">
      <c r="A823" s="52" t="s">
        <v>2264</v>
      </c>
      <c r="B823" s="53"/>
      <c r="D823" s="34"/>
      <c r="F823" s="17"/>
      <c r="H823" s="17"/>
    </row>
    <row r="824" spans="1:8" ht="15" customHeight="1">
      <c r="A824" s="61"/>
      <c r="B824" s="77" t="s">
        <v>11</v>
      </c>
      <c r="C824" s="14" t="s">
        <v>2229</v>
      </c>
      <c r="D824" s="246"/>
      <c r="E824" s="14" t="s">
        <v>2230</v>
      </c>
      <c r="F824" s="246" t="str">
        <f>IF(wskakunin_sekou5_NAME="", "", wskakunin_sekou5_NAME)</f>
        <v/>
      </c>
      <c r="H824" s="17"/>
    </row>
    <row r="825" spans="1:8" ht="15" customHeight="1">
      <c r="A825" s="61"/>
      <c r="B825" s="77" t="s">
        <v>1471</v>
      </c>
      <c r="C825" s="14" t="s">
        <v>2231</v>
      </c>
      <c r="D825" s="246"/>
      <c r="E825" s="14" t="s">
        <v>2232</v>
      </c>
      <c r="F825" s="246" t="str">
        <f>IF(wskakunin_sekou5_SEKOU__sikaku="", "", wskakunin_sekou5_SEKOU__sikaku)</f>
        <v/>
      </c>
      <c r="H825" s="17"/>
    </row>
    <row r="826" spans="1:8" ht="15" customHeight="1">
      <c r="A826" s="61"/>
      <c r="B826" s="77" t="s">
        <v>679</v>
      </c>
      <c r="C826" s="14" t="s">
        <v>2233</v>
      </c>
      <c r="D826" s="246"/>
      <c r="E826" s="14" t="s">
        <v>2234</v>
      </c>
      <c r="F826" s="246" t="str">
        <f>IF(wskakunin_sekou5_SEKOU_SIKAKU__label="", "",wskakunin_sekou5_SEKOU_SIKAKU__label)</f>
        <v/>
      </c>
      <c r="H826" s="17"/>
    </row>
    <row r="827" spans="1:8" ht="15" customHeight="1">
      <c r="A827" s="61"/>
      <c r="B827" s="77" t="s">
        <v>680</v>
      </c>
      <c r="C827" s="14" t="s">
        <v>2235</v>
      </c>
      <c r="D827" s="248"/>
      <c r="E827" s="14" t="s">
        <v>2236</v>
      </c>
      <c r="F827" s="246" t="str">
        <f>IF(wskakunin_sekou5_SEKOU_NO="","",wskakunin_sekou5_SEKOU_NO)</f>
        <v/>
      </c>
      <c r="H827" s="17"/>
    </row>
    <row r="828" spans="1:8" ht="15" customHeight="1">
      <c r="A828" s="61"/>
      <c r="B828" s="77" t="s">
        <v>24</v>
      </c>
      <c r="C828" s="14" t="s">
        <v>2237</v>
      </c>
      <c r="D828" s="246"/>
      <c r="E828" s="14" t="s">
        <v>2238</v>
      </c>
      <c r="F828" s="246" t="str">
        <f>IF(wskakunin_sekou5_JIMU_NAME="", "", wskakunin_sekou5_JIMU_NAME)</f>
        <v/>
      </c>
      <c r="H828" s="17"/>
    </row>
    <row r="829" spans="1:8" ht="15" customHeight="1">
      <c r="A829" s="61"/>
      <c r="B829" s="77" t="s">
        <v>12</v>
      </c>
      <c r="C829" s="14" t="s">
        <v>2239</v>
      </c>
      <c r="D829" s="248"/>
      <c r="E829" s="14" t="s">
        <v>2240</v>
      </c>
      <c r="F829" s="246" t="str">
        <f>IF(wskakunin_sekou5_ZIP="", "", wskakunin_sekou5_ZIP)</f>
        <v/>
      </c>
      <c r="H829" s="17"/>
    </row>
    <row r="830" spans="1:8" ht="15" customHeight="1">
      <c r="A830" s="61"/>
      <c r="B830" s="77" t="s">
        <v>17</v>
      </c>
      <c r="C830" s="14" t="s">
        <v>2241</v>
      </c>
      <c r="D830" s="246"/>
      <c r="E830" s="14" t="s">
        <v>2242</v>
      </c>
      <c r="F830" s="246" t="str">
        <f>IF(wskakunin_sekou5__address="", "", wskakunin_sekou5__address)</f>
        <v/>
      </c>
      <c r="H830" s="17"/>
    </row>
    <row r="831" spans="1:8" ht="15" customHeight="1">
      <c r="A831" s="61"/>
      <c r="B831" s="77" t="s">
        <v>14</v>
      </c>
      <c r="C831" s="14" t="s">
        <v>2243</v>
      </c>
      <c r="D831" s="248"/>
      <c r="E831" s="14" t="s">
        <v>2244</v>
      </c>
      <c r="F831" s="246" t="str">
        <f>IF(wskakunin_sekou5_TEL="", "", wskakunin_sekou5_TEL)</f>
        <v/>
      </c>
      <c r="H831" s="17"/>
    </row>
    <row r="832" spans="1:8" ht="15" customHeight="1">
      <c r="A832" s="61"/>
      <c r="B832" s="77"/>
      <c r="D832" s="34"/>
      <c r="F832" s="17"/>
      <c r="H832" s="17"/>
    </row>
    <row r="833" spans="1:8" ht="15" customHeight="1">
      <c r="A833" s="52" t="s">
        <v>2265</v>
      </c>
      <c r="B833" s="53"/>
      <c r="D833" s="34"/>
      <c r="F833" s="17"/>
      <c r="H833" s="17"/>
    </row>
    <row r="834" spans="1:8" ht="15" customHeight="1">
      <c r="A834" s="61"/>
      <c r="B834" s="77" t="s">
        <v>11</v>
      </c>
      <c r="C834" s="14" t="s">
        <v>2245</v>
      </c>
      <c r="D834" s="246"/>
      <c r="E834" s="14" t="s">
        <v>2246</v>
      </c>
      <c r="F834" s="246" t="str">
        <f>IF(wskakunin_sekou6_NAME="", "", wskakunin_sekou6_NAME)</f>
        <v/>
      </c>
      <c r="H834" s="17"/>
    </row>
    <row r="835" spans="1:8" ht="15" customHeight="1">
      <c r="A835" s="61"/>
      <c r="B835" s="77" t="s">
        <v>1471</v>
      </c>
      <c r="C835" s="14" t="s">
        <v>2247</v>
      </c>
      <c r="D835" s="246"/>
      <c r="E835" s="14" t="s">
        <v>2248</v>
      </c>
      <c r="F835" s="246" t="str">
        <f>IF(wskakunin_sekou6_SEKOU__sikaku="", "", wskakunin_sekou6_SEKOU__sikaku)</f>
        <v/>
      </c>
      <c r="H835" s="17"/>
    </row>
    <row r="836" spans="1:8" ht="15" customHeight="1">
      <c r="A836" s="61"/>
      <c r="B836" s="77" t="s">
        <v>679</v>
      </c>
      <c r="C836" s="14" t="s">
        <v>2249</v>
      </c>
      <c r="D836" s="246"/>
      <c r="E836" s="14" t="s">
        <v>2250</v>
      </c>
      <c r="F836" s="246" t="str">
        <f>IF(wskakunin_sekou6_SEKOU_SIKAKU__label="", "",wskakunin_sekou6_SEKOU_SIKAKU__label)</f>
        <v/>
      </c>
      <c r="H836" s="17"/>
    </row>
    <row r="837" spans="1:8" ht="15" customHeight="1">
      <c r="A837" s="61"/>
      <c r="B837" s="77" t="s">
        <v>680</v>
      </c>
      <c r="C837" s="14" t="s">
        <v>2251</v>
      </c>
      <c r="D837" s="248"/>
      <c r="E837" s="14" t="s">
        <v>2252</v>
      </c>
      <c r="F837" s="246" t="str">
        <f>IF(wskakunin_sekou6_SEKOU_NO="","",wskakunin_sekou6_SEKOU_NO)</f>
        <v/>
      </c>
      <c r="H837" s="17"/>
    </row>
    <row r="838" spans="1:8" ht="15" customHeight="1">
      <c r="A838" s="61"/>
      <c r="B838" s="77" t="s">
        <v>24</v>
      </c>
      <c r="C838" s="14" t="s">
        <v>2253</v>
      </c>
      <c r="D838" s="246"/>
      <c r="E838" s="14" t="s">
        <v>2254</v>
      </c>
      <c r="F838" s="246" t="str">
        <f>IF(wskakunin_sekou6_JIMU_NAME="", "", wskakunin_sekou6_JIMU_NAME)</f>
        <v/>
      </c>
      <c r="H838" s="17"/>
    </row>
    <row r="839" spans="1:8" ht="15" customHeight="1">
      <c r="A839" s="61"/>
      <c r="B839" s="77" t="s">
        <v>12</v>
      </c>
      <c r="C839" s="14" t="s">
        <v>2255</v>
      </c>
      <c r="D839" s="248"/>
      <c r="E839" s="14" t="s">
        <v>2256</v>
      </c>
      <c r="F839" s="246" t="str">
        <f>IF(wskakunin_sekou6_ZIP="", "", wskakunin_sekou6_ZIP)</f>
        <v/>
      </c>
      <c r="H839" s="17"/>
    </row>
    <row r="840" spans="1:8" ht="15" customHeight="1">
      <c r="A840" s="61"/>
      <c r="B840" s="77" t="s">
        <v>17</v>
      </c>
      <c r="C840" s="14" t="s">
        <v>2257</v>
      </c>
      <c r="D840" s="246"/>
      <c r="E840" s="14" t="s">
        <v>2258</v>
      </c>
      <c r="F840" s="246" t="str">
        <f>IF(wskakunin_sekou6__address="", "", wskakunin_sekou6__address)</f>
        <v/>
      </c>
      <c r="H840" s="17"/>
    </row>
    <row r="841" spans="1:8" ht="15" customHeight="1">
      <c r="A841" s="61"/>
      <c r="B841" s="77" t="s">
        <v>14</v>
      </c>
      <c r="C841" s="14" t="s">
        <v>2259</v>
      </c>
      <c r="D841" s="248"/>
      <c r="E841" s="14" t="s">
        <v>2260</v>
      </c>
      <c r="F841" s="246" t="str">
        <f>IF(wskakunin_sekou6_TEL="", "", wskakunin_sekou6_TEL)</f>
        <v/>
      </c>
      <c r="H841" s="17"/>
    </row>
    <row r="842" spans="1:8" ht="15" customHeight="1">
      <c r="A842" s="61"/>
      <c r="B842" s="77"/>
      <c r="D842" s="34"/>
      <c r="F842" s="17"/>
      <c r="G842" s="17"/>
      <c r="H842" s="17"/>
    </row>
    <row r="843" spans="1:8" ht="15" customHeight="1">
      <c r="A843" s="64" t="s">
        <v>702</v>
      </c>
      <c r="B843" s="59"/>
      <c r="D843" s="34"/>
      <c r="F843" s="17"/>
      <c r="G843" s="17"/>
      <c r="H843" s="17"/>
    </row>
    <row r="844" spans="1:8" ht="15" customHeight="1">
      <c r="A844" s="61"/>
      <c r="B844" s="54" t="s">
        <v>957</v>
      </c>
      <c r="D844" s="17"/>
      <c r="E844" s="14" t="s">
        <v>958</v>
      </c>
      <c r="F844" s="246" t="b">
        <f>IF(ISERROR(FIND("一建設", cst_wskakunin_sekou1_JIMU_NAME)), FALSE, FIND("一建設", cst_wskakunin_sekou1_JIMU_NAME)=1)</f>
        <v>0</v>
      </c>
      <c r="G844" s="17" t="s">
        <v>959</v>
      </c>
    </row>
    <row r="845" spans="1:8" ht="15" customHeight="1">
      <c r="A845" s="61"/>
      <c r="B845" s="55" t="s">
        <v>960</v>
      </c>
      <c r="D845" s="17"/>
      <c r="E845" s="14" t="s">
        <v>961</v>
      </c>
      <c r="F845" s="246">
        <f>IF(ISERROR(FIND("ケイアイスター不動産", cst_wskakunin_sekou1_JIMU_NAME)), 0, 1)</f>
        <v>0</v>
      </c>
      <c r="G845" s="17"/>
      <c r="H845" s="17"/>
    </row>
    <row r="846" spans="1:8" ht="15" customHeight="1">
      <c r="A846" s="62"/>
      <c r="B846" s="56"/>
      <c r="D846" s="17"/>
      <c r="F846" s="17"/>
      <c r="G846" s="17"/>
      <c r="H846" s="17"/>
    </row>
    <row r="847" spans="1:8" ht="15" customHeight="1">
      <c r="A847" s="46" t="s">
        <v>130</v>
      </c>
      <c r="B847" s="47"/>
      <c r="C847" s="14" t="s">
        <v>962</v>
      </c>
      <c r="D847" s="154" t="s">
        <v>3266</v>
      </c>
      <c r="E847" s="14" t="s">
        <v>963</v>
      </c>
      <c r="F847" s="154" t="str">
        <f>IF(wskakunin_BUILD_NAME="", "",wskakunin_BUILD_NAME)</f>
        <v>菅野　幸子　様邸　新築工事</v>
      </c>
      <c r="G847" s="17"/>
      <c r="H847" s="17"/>
    </row>
    <row r="848" spans="1:8" ht="15" customHeight="1">
      <c r="A848" s="51"/>
      <c r="B848" s="63" t="s">
        <v>124</v>
      </c>
      <c r="C848" s="14" t="s">
        <v>2696</v>
      </c>
      <c r="D848" s="254" t="s">
        <v>3267</v>
      </c>
      <c r="E848" s="14" t="s">
        <v>2761</v>
      </c>
      <c r="F848" s="254" t="str">
        <f>IF(wskakunin_BUILD_NAME_KANA="","",wskakunin_BUILD_NAME_KANA)</f>
        <v>スガノ サチコ サマテイ シンチクコウジ</v>
      </c>
      <c r="G848" s="17"/>
      <c r="H848" s="17"/>
    </row>
    <row r="849" spans="1:8" ht="15" customHeight="1">
      <c r="A849" s="99" t="s">
        <v>2331</v>
      </c>
      <c r="B849" s="100"/>
      <c r="C849" s="14" t="s">
        <v>2332</v>
      </c>
      <c r="D849" s="154"/>
      <c r="E849" s="14" t="s">
        <v>2333</v>
      </c>
      <c r="F849" s="154" t="str">
        <f>IF(wskakunin_P2_BIKOU="","",wskakunin_P2_BIKOU)</f>
        <v/>
      </c>
    </row>
    <row r="850" spans="1:8" ht="15" customHeight="1">
      <c r="A850" s="51"/>
      <c r="B850" s="63"/>
    </row>
    <row r="852" spans="1:8" ht="15" customHeight="1">
      <c r="A852" s="48" t="s">
        <v>618</v>
      </c>
      <c r="B852" s="49"/>
      <c r="G852" s="17"/>
      <c r="H852" s="17"/>
    </row>
    <row r="853" spans="1:8" ht="15" customHeight="1">
      <c r="A853" s="50"/>
      <c r="B853" s="75" t="s">
        <v>964</v>
      </c>
      <c r="C853" s="14" t="s">
        <v>965</v>
      </c>
      <c r="D853" s="154"/>
      <c r="G853" s="17"/>
      <c r="H853" s="17"/>
    </row>
    <row r="854" spans="1:8" ht="15" customHeight="1">
      <c r="A854" s="50"/>
      <c r="B854" s="74" t="s">
        <v>966</v>
      </c>
      <c r="E854" s="14" t="s">
        <v>967</v>
      </c>
      <c r="F854" s="44" t="str">
        <f>IF(wskakunin_tekihan01_TEKIHAN_STATE=1,"■","□")</f>
        <v>□</v>
      </c>
      <c r="G854" s="17"/>
      <c r="H854" s="17"/>
    </row>
    <row r="855" spans="1:8" ht="15" customHeight="1">
      <c r="A855" s="50"/>
      <c r="B855" s="74" t="s">
        <v>681</v>
      </c>
      <c r="E855" s="14" t="s">
        <v>690</v>
      </c>
      <c r="F855" s="44" t="str">
        <f>IF(wskakunin_tekihan01_TEKIHAN_STATE=2,"■","□")</f>
        <v>□</v>
      </c>
      <c r="G855" s="17"/>
      <c r="H855" s="17"/>
    </row>
    <row r="856" spans="1:8" ht="15" customHeight="1">
      <c r="A856" s="50"/>
      <c r="B856" s="74" t="s">
        <v>682</v>
      </c>
      <c r="E856" s="14" t="s">
        <v>691</v>
      </c>
      <c r="F856" s="44" t="str">
        <f>IF(wskakunin_tekihan01_TEKIHAN_STATE=3,"■","□")</f>
        <v>□</v>
      </c>
      <c r="G856" s="17"/>
      <c r="H856" s="17"/>
    </row>
    <row r="857" spans="1:8" ht="15" customHeight="1">
      <c r="A857" s="50"/>
      <c r="B857" s="75" t="s">
        <v>619</v>
      </c>
      <c r="C857" s="14" t="s">
        <v>968</v>
      </c>
      <c r="D857" s="154"/>
      <c r="E857" s="14" t="s">
        <v>969</v>
      </c>
      <c r="F857" s="44" t="str">
        <f>IF(wskakunin_tekihan01_TEKIHAN_KIKAN_NAME="","",wskakunin_tekihan01_TEKIHAN_KIKAN_NAME)</f>
        <v/>
      </c>
      <c r="G857" s="17"/>
      <c r="H857" s="17"/>
    </row>
    <row r="858" spans="1:8" ht="15" customHeight="1">
      <c r="A858" s="50"/>
      <c r="B858" s="75" t="s">
        <v>620</v>
      </c>
      <c r="C858" s="14" t="s">
        <v>970</v>
      </c>
      <c r="D858" s="154"/>
      <c r="E858" s="14" t="s">
        <v>971</v>
      </c>
      <c r="F858" s="44" t="str">
        <f>IF(wskakunin_tekihan01_TEKIHAN_KIKAN_KEN__ken="","",wskakunin_tekihan01_TEKIHAN_KIKAN_KEN__ken)</f>
        <v/>
      </c>
      <c r="G858" s="17"/>
      <c r="H858" s="17"/>
    </row>
    <row r="859" spans="1:8" ht="15" customHeight="1">
      <c r="A859" s="50"/>
      <c r="B859" s="75" t="s">
        <v>621</v>
      </c>
      <c r="C859" s="14" t="s">
        <v>972</v>
      </c>
      <c r="D859" s="154"/>
      <c r="E859" s="14" t="s">
        <v>973</v>
      </c>
      <c r="F859" s="44" t="str">
        <f>IF(wskakunin_tekihan01_TEKIHAN_KIKAN_ADDRESS="","",wskakunin_tekihan01_TEKIHAN_KIKAN_ADDRESS)</f>
        <v/>
      </c>
      <c r="G859" s="17"/>
      <c r="H859" s="17"/>
    </row>
    <row r="860" spans="1:8" ht="15" customHeight="1">
      <c r="A860" s="50"/>
      <c r="B860" s="75" t="s">
        <v>692</v>
      </c>
      <c r="D860" s="154"/>
      <c r="E860" s="14" t="s">
        <v>974</v>
      </c>
      <c r="F860" s="44" t="str">
        <f>cst_wskakunin_tekihan01_TEKIHAN_KIKAN_NAME&amp;IF(OR(cst_wskakunin_tekihan01_TEKIHAN_KIKAN_KEN__ken&lt;&gt;"",cst_wskakunin_tekihan01_TEKIHAN_KIKAN_ADDRESS&lt;&gt;""),"  ","")&amp;cst_wskakunin_tekihan01_TEKIHAN_KIKAN_KEN__ken&amp;cst_wskakunin_tekihan01_TEKIHAN_KIKAN_ADDRESS</f>
        <v/>
      </c>
      <c r="G860" s="17"/>
      <c r="H860" s="17"/>
    </row>
    <row r="861" spans="1:8" ht="15" customHeight="1">
      <c r="A861" s="50"/>
      <c r="B861" s="75" t="s">
        <v>619</v>
      </c>
      <c r="C861" s="14" t="s">
        <v>975</v>
      </c>
      <c r="D861" s="154"/>
      <c r="E861" s="14" t="s">
        <v>976</v>
      </c>
      <c r="F861" s="44" t="str">
        <f>IF(wskakunin_tekihan02_TEKIHAN_KIKAN_NAME="","",wskakunin_tekihan02_TEKIHAN_KIKAN_NAME)</f>
        <v/>
      </c>
      <c r="G861" s="17"/>
      <c r="H861" s="17"/>
    </row>
    <row r="862" spans="1:8" ht="15" customHeight="1">
      <c r="A862" s="50"/>
      <c r="B862" s="75" t="s">
        <v>620</v>
      </c>
      <c r="C862" s="14" t="s">
        <v>977</v>
      </c>
      <c r="D862" s="154"/>
      <c r="E862" s="14" t="s">
        <v>978</v>
      </c>
      <c r="F862" s="44" t="str">
        <f>IF(wskakunin_tekihan02_TEKIHAN_KIKAN_KEN__ken="","",wskakunin_tekihan02_TEKIHAN_KIKAN_KEN__ken)</f>
        <v/>
      </c>
      <c r="G862" s="17"/>
      <c r="H862" s="17"/>
    </row>
    <row r="863" spans="1:8" ht="15" customHeight="1">
      <c r="A863" s="50"/>
      <c r="B863" s="75" t="s">
        <v>621</v>
      </c>
      <c r="C863" s="14" t="s">
        <v>979</v>
      </c>
      <c r="D863" s="154"/>
      <c r="E863" s="14" t="s">
        <v>980</v>
      </c>
      <c r="F863" s="44" t="str">
        <f>IF(wskakunin_tekihan02_TEKIHAN_KIKAN_ADDRESS="","",wskakunin_tekihan02_TEKIHAN_KIKAN_ADDRESS)</f>
        <v/>
      </c>
      <c r="G863" s="17"/>
      <c r="H863" s="17"/>
    </row>
    <row r="864" spans="1:8" ht="15" customHeight="1">
      <c r="A864" s="50"/>
      <c r="B864" s="75" t="s">
        <v>692</v>
      </c>
      <c r="D864" s="154"/>
      <c r="E864" s="14" t="s">
        <v>981</v>
      </c>
      <c r="F864" s="44" t="str">
        <f>cst_wskakunin_tekihan02_TEKIHAN_KIKAN_NAME&amp;IF(OR(cst_wskakunin_tekihan02_TEKIHAN_KIKAN_KEN__ken&lt;&gt;"",cst_wskakunin_tekihan02_TEKIHAN_KIKAN_ADDRESS&lt;&gt;""),"  ","")&amp;cst_wskakunin_tekihan02_TEKIHAN_KIKAN_KEN__ken&amp;cst_wskakunin_tekihan02_TEKIHAN_KIKAN_ADDRESS</f>
        <v/>
      </c>
      <c r="G864" s="17"/>
      <c r="H864" s="17"/>
    </row>
    <row r="865" spans="1:8" ht="15" customHeight="1">
      <c r="A865" s="50"/>
      <c r="B865" s="76"/>
      <c r="G865" s="17"/>
      <c r="H865" s="17"/>
    </row>
    <row r="866" spans="1:8" ht="15" customHeight="1">
      <c r="A866" s="48" t="s">
        <v>704</v>
      </c>
      <c r="B866" s="49"/>
      <c r="G866" s="17"/>
      <c r="H866" s="17"/>
    </row>
    <row r="867" spans="1:8" ht="15" customHeight="1">
      <c r="A867" s="50"/>
      <c r="B867" s="74" t="s">
        <v>622</v>
      </c>
      <c r="C867" s="14" t="s">
        <v>982</v>
      </c>
      <c r="D867" s="44"/>
      <c r="G867" s="17"/>
      <c r="H867" s="17"/>
    </row>
    <row r="868" spans="1:8" ht="15" customHeight="1">
      <c r="A868" s="50"/>
      <c r="B868" s="74" t="s">
        <v>683</v>
      </c>
      <c r="E868" s="14" t="s">
        <v>983</v>
      </c>
      <c r="F868" s="44" t="str">
        <f>IF(wskakunin_ecotekihan01_TEKIHAN_STATE=1,"■","□")</f>
        <v>□</v>
      </c>
      <c r="G868" s="17">
        <v>1</v>
      </c>
      <c r="H868" s="17"/>
    </row>
    <row r="869" spans="1:8" ht="15" customHeight="1">
      <c r="A869" s="50"/>
      <c r="B869" s="74" t="s">
        <v>684</v>
      </c>
      <c r="E869" s="14" t="s">
        <v>984</v>
      </c>
      <c r="F869" s="44" t="str">
        <f>IF(wskakunin_ecotekihan01_TEKIHAN_STATE=2,"■","□")</f>
        <v>□</v>
      </c>
      <c r="G869" s="17">
        <v>2</v>
      </c>
      <c r="H869" s="17"/>
    </row>
    <row r="870" spans="1:8" ht="15" customHeight="1">
      <c r="A870" s="50"/>
      <c r="B870" s="74" t="s">
        <v>685</v>
      </c>
      <c r="E870" s="14" t="s">
        <v>985</v>
      </c>
      <c r="F870" s="44" t="str">
        <f>IF(wskakunin_ecotekihan01_TEKIHAN_STATE=3,"■","□")</f>
        <v>□</v>
      </c>
      <c r="G870" s="17">
        <v>3</v>
      </c>
      <c r="H870" s="17"/>
    </row>
    <row r="871" spans="1:8" ht="15" customHeight="1">
      <c r="A871" s="50"/>
      <c r="B871" s="75" t="s">
        <v>619</v>
      </c>
      <c r="C871" s="14" t="s">
        <v>986</v>
      </c>
      <c r="D871" s="44"/>
      <c r="E871" s="14" t="s">
        <v>987</v>
      </c>
      <c r="F871" s="44" t="str">
        <f>IF(wskakunin_ecotekihan01_TEKIHAN_KIKAN_NAME="","",wskakunin_ecotekihan01_TEKIHAN_KIKAN_NAME)</f>
        <v/>
      </c>
      <c r="G871" s="17"/>
      <c r="H871" s="17"/>
    </row>
    <row r="872" spans="1:8" ht="15" customHeight="1">
      <c r="A872" s="50"/>
      <c r="B872" s="75" t="s">
        <v>620</v>
      </c>
      <c r="C872" s="14" t="s">
        <v>988</v>
      </c>
      <c r="D872" s="44"/>
      <c r="E872" s="14" t="s">
        <v>989</v>
      </c>
      <c r="F872" s="44" t="str">
        <f>IF(wskakunin_ecotekihan01_TEKIHAN_KIKAN_KEN__ken="","",wskakunin_ecotekihan01_TEKIHAN_KIKAN_KEN__ken)</f>
        <v/>
      </c>
      <c r="G872" s="17"/>
      <c r="H872" s="17"/>
    </row>
    <row r="873" spans="1:8" ht="15" customHeight="1">
      <c r="A873" s="50"/>
      <c r="B873" s="75" t="s">
        <v>621</v>
      </c>
      <c r="C873" s="14" t="s">
        <v>990</v>
      </c>
      <c r="D873" s="44"/>
      <c r="E873" s="14" t="s">
        <v>991</v>
      </c>
      <c r="F873" s="44" t="str">
        <f>IF(wskakunin_ecotekihan01_TEKIHAN_KIKAN_ADDRESS="","",wskakunin_ecotekihan01_TEKIHAN_KIKAN_ADDRESS)</f>
        <v/>
      </c>
      <c r="G873" s="17"/>
      <c r="H873" s="17"/>
    </row>
    <row r="874" spans="1:8" ht="15" customHeight="1">
      <c r="A874" s="50"/>
      <c r="B874" s="75"/>
      <c r="G874" s="17"/>
      <c r="H874" s="17"/>
    </row>
    <row r="875" spans="1:8" ht="15" customHeight="1">
      <c r="A875" s="50"/>
      <c r="B875" s="75" t="s">
        <v>705</v>
      </c>
      <c r="E875" s="14" t="s">
        <v>992</v>
      </c>
      <c r="F875" s="44"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75" s="17"/>
      <c r="H875" s="17"/>
    </row>
    <row r="876" spans="1:8" ht="15" customHeight="1">
      <c r="A876" s="50"/>
      <c r="B876" s="75" t="s">
        <v>706</v>
      </c>
      <c r="E876" s="14" t="s">
        <v>993</v>
      </c>
      <c r="F876" s="44"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6" s="17"/>
      <c r="H876" s="17"/>
    </row>
    <row r="877" spans="1:8" ht="15" customHeight="1">
      <c r="A877" s="50"/>
      <c r="B877" s="75" t="s">
        <v>695</v>
      </c>
      <c r="C877" s="14" t="s">
        <v>994</v>
      </c>
      <c r="D877" s="44"/>
      <c r="E877" s="14" t="s">
        <v>703</v>
      </c>
      <c r="F877" s="44" t="str">
        <f>IF(wskakunin_ecotekihan01_FUYOU_CAUSE="","",wskakunin_ecotekihan01_FUYOU_CAUSE)</f>
        <v/>
      </c>
      <c r="G877" s="17"/>
      <c r="H877" s="17"/>
    </row>
    <row r="878" spans="1:8" ht="15" customHeight="1">
      <c r="A878" s="51"/>
      <c r="B878" s="76"/>
      <c r="G878" s="17"/>
      <c r="H878" s="17"/>
    </row>
    <row r="879" spans="1:8" ht="15" customHeight="1">
      <c r="G879" s="17"/>
      <c r="H879" s="17"/>
    </row>
    <row r="880" spans="1:8" ht="15" customHeight="1">
      <c r="A880" s="52" t="s">
        <v>131</v>
      </c>
      <c r="B880" s="112"/>
      <c r="G880" s="17"/>
      <c r="H880" s="17"/>
    </row>
    <row r="881" spans="1:8" ht="15" customHeight="1">
      <c r="A881" s="210" t="s">
        <v>1267</v>
      </c>
      <c r="B881" s="77" t="s">
        <v>123</v>
      </c>
      <c r="C881" s="14" t="s">
        <v>995</v>
      </c>
      <c r="D881" s="246"/>
      <c r="E881" s="14" t="s">
        <v>996</v>
      </c>
      <c r="F881" s="246" t="str">
        <f>IF(wskakunin_p4_1_youto1_YOUTO="", "", wskakunin_p4_1_youto1_YOUTO)</f>
        <v/>
      </c>
      <c r="G881" s="17"/>
      <c r="H881" s="17"/>
    </row>
    <row r="882" spans="1:8" ht="15" customHeight="1">
      <c r="A882" s="113"/>
      <c r="B882" s="77" t="s">
        <v>997</v>
      </c>
      <c r="C882" s="14" t="s">
        <v>998</v>
      </c>
      <c r="D882" s="248"/>
      <c r="E882" s="14" t="s">
        <v>999</v>
      </c>
      <c r="F882" s="246" t="str">
        <f>IF(wskakunin_p4_1_youto1_YOUTO_CODE="","",wskakunin_p4_1_youto1_YOUTO_CODE)</f>
        <v/>
      </c>
      <c r="G882" s="17"/>
      <c r="H882" s="17"/>
    </row>
    <row r="883" spans="1:8" ht="15" customHeight="1">
      <c r="A883" s="113"/>
      <c r="B883" s="77" t="s">
        <v>54</v>
      </c>
      <c r="C883" s="106"/>
      <c r="D883" s="248"/>
      <c r="E883" s="14" t="s">
        <v>1000</v>
      </c>
      <c r="F883" s="246"/>
      <c r="G883" s="17"/>
      <c r="H883" s="17"/>
    </row>
    <row r="884" spans="1:8" ht="15" customHeight="1">
      <c r="A884" s="113"/>
      <c r="B884" s="77" t="s">
        <v>1001</v>
      </c>
      <c r="C884" s="106"/>
      <c r="D884" s="248"/>
      <c r="E884" s="14" t="s">
        <v>1002</v>
      </c>
      <c r="F884" s="246"/>
      <c r="G884" s="17"/>
      <c r="H884" s="17"/>
    </row>
    <row r="885" spans="1:8" ht="15" customHeight="1">
      <c r="A885" s="113"/>
      <c r="B885" s="77" t="s">
        <v>59</v>
      </c>
      <c r="C885" s="106"/>
      <c r="D885" s="248"/>
      <c r="E885" s="14" t="s">
        <v>1003</v>
      </c>
      <c r="F885" s="246"/>
      <c r="G885" s="17"/>
      <c r="H885" s="17"/>
    </row>
    <row r="886" spans="1:8" ht="15" customHeight="1">
      <c r="A886" s="113"/>
      <c r="B886" s="77" t="s">
        <v>61</v>
      </c>
      <c r="C886" s="106"/>
      <c r="D886" s="248"/>
      <c r="E886" s="14" t="s">
        <v>1004</v>
      </c>
      <c r="F886" s="246"/>
      <c r="G886" s="17"/>
      <c r="H886" s="17"/>
    </row>
    <row r="887" spans="1:8" ht="15" customHeight="1">
      <c r="A887" s="113"/>
      <c r="B887" s="77" t="s">
        <v>63</v>
      </c>
      <c r="C887" s="106"/>
      <c r="D887" s="248"/>
      <c r="E887" s="14" t="s">
        <v>1005</v>
      </c>
      <c r="F887" s="246"/>
      <c r="G887" s="17"/>
      <c r="H887" s="17"/>
    </row>
    <row r="888" spans="1:8" ht="15" customHeight="1">
      <c r="A888" s="113"/>
      <c r="B888" s="77" t="s">
        <v>65</v>
      </c>
      <c r="C888" s="106"/>
      <c r="D888" s="248"/>
      <c r="E888" s="14" t="s">
        <v>1006</v>
      </c>
      <c r="F888" s="246"/>
      <c r="G888" s="17"/>
      <c r="H888" s="17"/>
    </row>
    <row r="889" spans="1:8" ht="15" customHeight="1">
      <c r="A889" s="113"/>
      <c r="B889" s="77" t="s">
        <v>2</v>
      </c>
      <c r="C889" s="106"/>
      <c r="D889" s="248"/>
      <c r="E889" s="14" t="s">
        <v>1007</v>
      </c>
      <c r="F889" s="256" t="str">
        <f>IF(D882="08010","○","")</f>
        <v/>
      </c>
      <c r="G889" s="17"/>
      <c r="H889" s="17"/>
    </row>
    <row r="890" spans="1:8" ht="15" customHeight="1">
      <c r="A890" s="61"/>
      <c r="B890" s="77" t="s">
        <v>133</v>
      </c>
      <c r="C890" s="14" t="s">
        <v>1008</v>
      </c>
      <c r="D890" s="246"/>
      <c r="E890" s="14" t="s">
        <v>1009</v>
      </c>
      <c r="F890" s="246" t="str">
        <f>IF(wskakunin_p4_1__kouji="", "", wskakunin_p4_1__kouji)</f>
        <v/>
      </c>
      <c r="G890" s="17"/>
      <c r="H890" s="17"/>
    </row>
    <row r="891" spans="1:8" ht="15" customHeight="1">
      <c r="A891" s="61"/>
      <c r="B891" s="77" t="s">
        <v>134</v>
      </c>
      <c r="C891" s="14" t="s">
        <v>1010</v>
      </c>
      <c r="D891" s="246"/>
      <c r="E891" s="14" t="s">
        <v>1011</v>
      </c>
      <c r="F891" s="246" t="str">
        <f>IF(wskakunin_p4_1_KAISU_TIKAI_NOZOKU="", "", wskakunin_p4_1_KAISU_TIKAI_NOZOKU)</f>
        <v/>
      </c>
      <c r="G891" s="17"/>
      <c r="H891" s="17"/>
    </row>
    <row r="892" spans="1:8" ht="15" customHeight="1">
      <c r="A892" s="61"/>
      <c r="B892" s="77" t="s">
        <v>135</v>
      </c>
      <c r="C892" s="14" t="s">
        <v>1012</v>
      </c>
      <c r="D892" s="246"/>
      <c r="E892" s="14" t="s">
        <v>1013</v>
      </c>
      <c r="F892" s="246" t="str">
        <f>IF(wskakunin_p4_1_KAISU_TIKAI="", "", wskakunin_p4_1_KAISU_TIKAI)</f>
        <v/>
      </c>
      <c r="G892" s="17"/>
      <c r="H892" s="17"/>
    </row>
    <row r="893" spans="1:8" ht="15" customHeight="1">
      <c r="A893" s="61"/>
      <c r="B893" s="77" t="s">
        <v>136</v>
      </c>
      <c r="C893" s="14" t="s">
        <v>1014</v>
      </c>
      <c r="D893" s="246"/>
      <c r="E893" s="14" t="s">
        <v>1015</v>
      </c>
      <c r="F893" s="246" t="str">
        <f>IF(wskakunin_p4_1_KOUZOU1="", "", wskakunin_p4_1_KOUZOU1)</f>
        <v/>
      </c>
      <c r="G893" s="17"/>
      <c r="H893" s="17"/>
    </row>
    <row r="894" spans="1:8" ht="15" customHeight="1">
      <c r="A894" s="61"/>
      <c r="B894" s="77" t="s">
        <v>137</v>
      </c>
      <c r="C894" s="14" t="s">
        <v>1016</v>
      </c>
      <c r="D894" s="246"/>
      <c r="E894" s="14" t="s">
        <v>1017</v>
      </c>
      <c r="F894" s="246" t="str">
        <f>IF(wskakunin_p4_1_KOUZOU2="", "", wskakunin_p4_1_KOUZOU2)</f>
        <v/>
      </c>
      <c r="G894" s="17"/>
      <c r="H894" s="17"/>
    </row>
    <row r="895" spans="1:8" ht="15" customHeight="1">
      <c r="A895" s="61"/>
      <c r="B895" s="77" t="s">
        <v>138</v>
      </c>
      <c r="C895" s="14" t="s">
        <v>1018</v>
      </c>
      <c r="D895" s="255"/>
      <c r="E895" s="14" t="s">
        <v>1019</v>
      </c>
      <c r="F895" s="246" t="str">
        <f>IF(wskakunin_p4_1_TAKASA_MAX="", "", wskakunin_p4_1_TAKASA_MAX)</f>
        <v/>
      </c>
      <c r="G895" s="17"/>
      <c r="H895" s="17"/>
    </row>
    <row r="896" spans="1:8" ht="15" customHeight="1">
      <c r="A896" s="61"/>
      <c r="B896" s="77" t="s">
        <v>139</v>
      </c>
      <c r="C896" s="14" t="s">
        <v>1020</v>
      </c>
      <c r="D896" s="255"/>
      <c r="E896" s="14" t="s">
        <v>1021</v>
      </c>
      <c r="F896" s="246" t="str">
        <f>IF(wskakunin_p4_1_TAKASA_KEN_MAX="", "", wskakunin_p4_1_TAKASA_KEN_MAX)</f>
        <v/>
      </c>
      <c r="G896" s="17"/>
      <c r="H896" s="17"/>
    </row>
    <row r="897" spans="1:8" ht="15" customHeight="1">
      <c r="A897" s="61"/>
      <c r="B897" s="207" t="s">
        <v>2586</v>
      </c>
      <c r="C897" s="14" t="s">
        <v>2587</v>
      </c>
      <c r="D897" s="255"/>
      <c r="E897" s="14" t="s">
        <v>2588</v>
      </c>
      <c r="F897" s="246" t="str">
        <f>IF(wskakunin_p4_1_YUKA_MENSEKI_SHINSEI="","",wskakunin_p4_1_YUKA_MENSEKI_SHINSEI)</f>
        <v/>
      </c>
      <c r="G897" s="17"/>
      <c r="H897" s="17"/>
    </row>
    <row r="898" spans="1:8" ht="15" customHeight="1">
      <c r="A898" s="133"/>
      <c r="B898" s="134"/>
      <c r="D898" s="208"/>
      <c r="F898" s="17"/>
      <c r="G898" s="17"/>
      <c r="H898" s="17"/>
    </row>
    <row r="899" spans="1:8" ht="15" customHeight="1">
      <c r="A899" s="209" t="s">
        <v>1274</v>
      </c>
      <c r="B899" s="77" t="s">
        <v>134</v>
      </c>
      <c r="C899" s="14" t="s">
        <v>2589</v>
      </c>
      <c r="D899" s="255"/>
      <c r="E899" s="14" t="s">
        <v>2595</v>
      </c>
      <c r="F899" s="246" t="str">
        <f>IF(wskakunin_p4_2_KAISU_TIKAI_NOZOKU="","",wskakunin_p4_2_KAISU_TIKAI_NOZOKU)</f>
        <v/>
      </c>
      <c r="G899" s="17"/>
      <c r="H899" s="17"/>
    </row>
    <row r="900" spans="1:8" ht="15" customHeight="1">
      <c r="A900" s="61"/>
      <c r="B900" s="77" t="s">
        <v>135</v>
      </c>
      <c r="C900" s="14" t="s">
        <v>2591</v>
      </c>
      <c r="D900" s="255"/>
      <c r="E900" s="14" t="s">
        <v>2596</v>
      </c>
      <c r="F900" s="246" t="str">
        <f>IF(wskakunin_p4_2_KAISU_TIKAI="","",wskakunin_p4_2_KAISU_TIKAI)</f>
        <v/>
      </c>
      <c r="G900" s="17"/>
      <c r="H900" s="17"/>
    </row>
    <row r="901" spans="1:8" ht="15" customHeight="1">
      <c r="A901" s="61"/>
      <c r="B901" s="207" t="s">
        <v>2586</v>
      </c>
      <c r="C901" s="14" t="s">
        <v>2592</v>
      </c>
      <c r="D901" s="255"/>
      <c r="E901" s="14" t="s">
        <v>2597</v>
      </c>
      <c r="F901" s="246" t="str">
        <f>IF(wskakunin_p4_2_YUKA_MENSEKI_SHINSEI="","",wskakunin_p4_2_YUKA_MENSEKI_SHINSEI)</f>
        <v/>
      </c>
      <c r="G901" s="17"/>
      <c r="H901" s="17"/>
    </row>
    <row r="902" spans="1:8" ht="15" customHeight="1">
      <c r="A902" s="133"/>
      <c r="B902" s="134"/>
      <c r="D902" s="208"/>
      <c r="F902" s="17"/>
      <c r="G902" s="17"/>
      <c r="H902" s="17"/>
    </row>
    <row r="903" spans="1:8" ht="15" customHeight="1">
      <c r="A903" s="209" t="s">
        <v>1278</v>
      </c>
      <c r="B903" s="77" t="s">
        <v>134</v>
      </c>
      <c r="C903" s="14" t="s">
        <v>2593</v>
      </c>
      <c r="D903" s="255"/>
      <c r="E903" s="14" t="s">
        <v>2598</v>
      </c>
      <c r="F903" s="246" t="str">
        <f>IF(wskakunin_p4_3_KAISU_TIKAI_NOZOKU="","",wskakunin_p4_3_KAISU_TIKAI_NOZOKU)</f>
        <v/>
      </c>
      <c r="G903" s="17"/>
      <c r="H903" s="17"/>
    </row>
    <row r="904" spans="1:8" ht="15" customHeight="1">
      <c r="A904" s="61"/>
      <c r="B904" s="77" t="s">
        <v>135</v>
      </c>
      <c r="C904" s="14" t="s">
        <v>2590</v>
      </c>
      <c r="D904" s="255"/>
      <c r="E904" s="14" t="s">
        <v>2599</v>
      </c>
      <c r="F904" s="246" t="str">
        <f>IF(wskakunin_p4_3_KAISU_TIKAI="","",wskakunin_p4_3_KAISU_TIKAI)</f>
        <v/>
      </c>
      <c r="G904" s="17"/>
      <c r="H904" s="17"/>
    </row>
    <row r="905" spans="1:8" ht="15" customHeight="1">
      <c r="A905" s="61"/>
      <c r="B905" s="207" t="s">
        <v>2586</v>
      </c>
      <c r="C905" s="14" t="s">
        <v>2594</v>
      </c>
      <c r="D905" s="255"/>
      <c r="E905" s="14" t="s">
        <v>2600</v>
      </c>
      <c r="F905" s="246" t="str">
        <f>IF(wskakunin_p4_3_YUKA_MENSEKI_SHINSEI="","",wskakunin_p4_3_YUKA_MENSEKI_SHINSEI)</f>
        <v/>
      </c>
      <c r="G905" s="17"/>
      <c r="H905" s="17"/>
    </row>
    <row r="906" spans="1:8" ht="15" customHeight="1">
      <c r="A906" s="133"/>
      <c r="B906" s="134"/>
      <c r="D906" s="208"/>
      <c r="F906" s="17"/>
      <c r="G906" s="17"/>
      <c r="H906" s="17"/>
    </row>
    <row r="908" spans="1:8" ht="15" customHeight="1">
      <c r="A908" s="58" t="s">
        <v>118</v>
      </c>
      <c r="B908" s="107"/>
      <c r="G908" s="17"/>
      <c r="H908" s="17"/>
    </row>
    <row r="909" spans="1:8" ht="15" customHeight="1">
      <c r="A909" s="46" t="s">
        <v>1022</v>
      </c>
      <c r="B909" s="49"/>
      <c r="G909" s="17"/>
      <c r="H909" s="17"/>
    </row>
    <row r="910" spans="1:8" ht="15" customHeight="1">
      <c r="A910" s="84"/>
      <c r="B910" s="78" t="s">
        <v>709</v>
      </c>
      <c r="C910" s="14" t="s">
        <v>1023</v>
      </c>
      <c r="D910" s="154" t="s">
        <v>3262</v>
      </c>
      <c r="E910" s="14" t="s">
        <v>1024</v>
      </c>
      <c r="F910" s="154" t="str">
        <f>IF(wskakunin_BUILD__address="", "", wskakunin_BUILD__address)</f>
        <v>静岡県静岡市葵区平和二丁目215-8</v>
      </c>
      <c r="G910" s="17"/>
      <c r="H910" s="17"/>
    </row>
    <row r="911" spans="1:8" ht="15" customHeight="1">
      <c r="A911" s="84"/>
      <c r="B911" s="151" t="s">
        <v>1359</v>
      </c>
      <c r="C911" s="14" t="s">
        <v>1025</v>
      </c>
      <c r="D911" s="154" t="s">
        <v>3265</v>
      </c>
      <c r="E911" s="14" t="s">
        <v>1026</v>
      </c>
      <c r="F911" s="154" t="str">
        <f>IF(wskakunin_BUILD_KEN__ken="","",wskakunin_BUILD_KEN__ken)</f>
        <v>静岡県</v>
      </c>
      <c r="G911" s="17"/>
      <c r="H911" s="17"/>
    </row>
    <row r="912" spans="1:8" ht="15" customHeight="1">
      <c r="A912" s="84"/>
      <c r="B912" s="151" t="s">
        <v>1360</v>
      </c>
      <c r="C912" s="14" t="s">
        <v>1357</v>
      </c>
      <c r="D912" s="154" t="s">
        <v>3263</v>
      </c>
      <c r="E912" s="14" t="s">
        <v>1358</v>
      </c>
      <c r="F912" s="154" t="str">
        <f>IF(wskakunin_BUILD_ADDRESS="","",wskakunin_BUILD_ADDRESS)</f>
        <v>静岡市葵区平和二丁目215-8</v>
      </c>
      <c r="G912" s="17"/>
      <c r="H912" s="17"/>
    </row>
    <row r="913" spans="1:8" ht="15" customHeight="1">
      <c r="A913" s="85"/>
      <c r="B913" s="86"/>
      <c r="D913" s="17"/>
      <c r="F913" s="17"/>
      <c r="G913" s="17"/>
      <c r="H913" s="17"/>
    </row>
    <row r="914" spans="1:8" ht="15" customHeight="1">
      <c r="A914" s="46" t="s">
        <v>594</v>
      </c>
      <c r="B914" s="49"/>
      <c r="G914" s="17"/>
      <c r="H914" s="17"/>
    </row>
    <row r="915" spans="1:8" ht="15" customHeight="1">
      <c r="A915" s="84"/>
      <c r="B915" s="78" t="s">
        <v>13</v>
      </c>
      <c r="C915" s="14" t="s">
        <v>1361</v>
      </c>
      <c r="D915" s="44"/>
      <c r="E915" s="14" t="s">
        <v>1363</v>
      </c>
      <c r="F915" s="44" t="str">
        <f>IF(wskakunin_BUILD_JYUKYO__address="","",wskakunin_BUILD_JYUKYO__address)</f>
        <v/>
      </c>
      <c r="G915" s="17"/>
      <c r="H915" s="17"/>
    </row>
    <row r="916" spans="1:8" ht="15" customHeight="1">
      <c r="A916" s="84"/>
      <c r="B916" s="151" t="s">
        <v>1359</v>
      </c>
      <c r="C916" s="14" t="s">
        <v>1362</v>
      </c>
      <c r="D916" s="44"/>
      <c r="E916" s="14" t="s">
        <v>1364</v>
      </c>
      <c r="F916" s="44" t="str">
        <f>IF(wskakunin_BUILD_JYUKYO_KEN__ken="","",wskakunin_BUILD_JYUKYO_KEN__ken)</f>
        <v/>
      </c>
      <c r="G916" s="17"/>
      <c r="H916" s="17"/>
    </row>
    <row r="917" spans="1:8" ht="15" customHeight="1">
      <c r="A917" s="84"/>
      <c r="B917" s="151" t="s">
        <v>1360</v>
      </c>
      <c r="C917" s="14" t="s">
        <v>1027</v>
      </c>
      <c r="D917" s="154"/>
      <c r="E917" s="14" t="s">
        <v>1028</v>
      </c>
      <c r="F917" s="154" t="str">
        <f>IF(wskakunin_BUILD_JYUKYO_ADDRESS="","",wskakunin_BUILD_JYUKYO_ADDRESS)</f>
        <v/>
      </c>
      <c r="G917" s="17"/>
      <c r="H917" s="17"/>
    </row>
    <row r="918" spans="1:8" ht="15" customHeight="1">
      <c r="A918" s="85"/>
      <c r="B918" s="86"/>
      <c r="D918" s="17"/>
      <c r="F918" s="17"/>
      <c r="G918" s="17"/>
      <c r="H918" s="17"/>
    </row>
    <row r="919" spans="1:8" ht="15" customHeight="1">
      <c r="A919" s="1" t="s">
        <v>1029</v>
      </c>
      <c r="B919" s="49"/>
      <c r="G919" s="17"/>
      <c r="H919" s="17"/>
    </row>
    <row r="920" spans="1:8" ht="15" customHeight="1">
      <c r="A920" s="7"/>
      <c r="B920" s="78" t="s">
        <v>449</v>
      </c>
      <c r="C920" s="14" t="s">
        <v>1030</v>
      </c>
      <c r="D920" s="154"/>
      <c r="E920" s="14" t="s">
        <v>1031</v>
      </c>
      <c r="F920" s="154" t="str">
        <f>IF(wskakunin_KUIKI_TOSI=1,"■","□")</f>
        <v>□</v>
      </c>
      <c r="H920" s="17"/>
    </row>
    <row r="921" spans="1:8" ht="15" customHeight="1">
      <c r="A921" s="7"/>
      <c r="B921" s="78" t="s">
        <v>132</v>
      </c>
      <c r="C921" s="14" t="s">
        <v>1032</v>
      </c>
      <c r="D921" s="154"/>
      <c r="E921" s="14" t="s">
        <v>1033</v>
      </c>
      <c r="F921" s="154" t="str">
        <f>IF(wskakunin__kuiki="", "", wskakunin__kuiki)</f>
        <v/>
      </c>
      <c r="G921" s="17"/>
      <c r="H921" s="17"/>
    </row>
    <row r="922" spans="1:8" ht="15" customHeight="1">
      <c r="A922" s="224"/>
      <c r="B922" s="78"/>
      <c r="D922" s="17"/>
      <c r="E922" s="14" t="s">
        <v>2731</v>
      </c>
      <c r="F922" s="154" t="str">
        <f>IF(cst_wskakunin__kuiki="都市計画区域内","■","□")</f>
        <v>□</v>
      </c>
      <c r="G922" s="17"/>
      <c r="H922" s="17"/>
    </row>
    <row r="923" spans="1:8" ht="15" customHeight="1">
      <c r="A923" s="7"/>
      <c r="B923" s="78" t="s">
        <v>453</v>
      </c>
      <c r="C923" s="14" t="s">
        <v>1034</v>
      </c>
      <c r="D923" s="154"/>
      <c r="E923" s="14" t="s">
        <v>1035</v>
      </c>
      <c r="F923" s="154" t="str">
        <f>IF(wskakunin_KUIKI_SIGAIKA=1,"■","□")</f>
        <v>□</v>
      </c>
      <c r="G923" s="17"/>
      <c r="H923" s="17"/>
    </row>
    <row r="924" spans="1:8" ht="15" customHeight="1">
      <c r="A924" s="7"/>
      <c r="B924" s="78" t="s">
        <v>452</v>
      </c>
      <c r="C924" s="14" t="s">
        <v>1036</v>
      </c>
      <c r="D924" s="154"/>
      <c r="E924" s="14" t="s">
        <v>1037</v>
      </c>
      <c r="F924" s="154" t="str">
        <f>IF(wskakunin__tosi_kuiki="", "", wskakunin__tosi_kuiki)</f>
        <v/>
      </c>
      <c r="G924" s="17"/>
      <c r="H924" s="17"/>
    </row>
    <row r="925" spans="1:8" ht="15" customHeight="1">
      <c r="A925" s="7"/>
      <c r="B925" s="78" t="s">
        <v>454</v>
      </c>
      <c r="C925" s="14" t="s">
        <v>1038</v>
      </c>
      <c r="D925" s="154"/>
      <c r="E925" s="14" t="s">
        <v>1039</v>
      </c>
      <c r="F925" s="154" t="str">
        <f>IF(wskakunin_KUIKI_TYOSEI=1,"■","□")</f>
        <v>□</v>
      </c>
      <c r="H925" s="17"/>
    </row>
    <row r="926" spans="1:8" ht="15" customHeight="1">
      <c r="A926" s="7"/>
      <c r="B926" s="78" t="s">
        <v>455</v>
      </c>
      <c r="C926" s="14" t="s">
        <v>1040</v>
      </c>
      <c r="D926" s="154"/>
      <c r="E926" s="14" t="s">
        <v>1041</v>
      </c>
      <c r="F926" s="154" t="str">
        <f>IF(wskakunin_KUIKI_HISETTEI=1,"■","□")</f>
        <v>□</v>
      </c>
      <c r="H926" s="17"/>
    </row>
    <row r="927" spans="1:8" ht="15" customHeight="1">
      <c r="A927" s="7"/>
      <c r="B927" s="78" t="s">
        <v>450</v>
      </c>
      <c r="C927" s="14" t="s">
        <v>1042</v>
      </c>
      <c r="D927" s="154"/>
      <c r="E927" s="14" t="s">
        <v>1043</v>
      </c>
      <c r="F927" s="154" t="str">
        <f>IF(wskakunin_KUIKI_JYUN_TOSHI=1,"■","□")</f>
        <v>□</v>
      </c>
      <c r="H927" s="17"/>
    </row>
    <row r="928" spans="1:8" ht="15" customHeight="1">
      <c r="A928" s="7"/>
      <c r="B928" s="75" t="s">
        <v>451</v>
      </c>
      <c r="C928" s="14" t="s">
        <v>1044</v>
      </c>
      <c r="D928" s="154"/>
      <c r="E928" s="14" t="s">
        <v>1045</v>
      </c>
      <c r="F928" s="154" t="str">
        <f>IF(wskakunin_KUIKI_KUIKIGAI=1,"■","□")</f>
        <v>□</v>
      </c>
      <c r="H928" s="17"/>
    </row>
    <row r="929" spans="1:8" ht="15" customHeight="1">
      <c r="A929" s="8"/>
      <c r="B929" s="76"/>
      <c r="D929" s="17"/>
      <c r="F929" s="17"/>
      <c r="H929" s="17"/>
    </row>
    <row r="930" spans="1:8" ht="15" customHeight="1">
      <c r="A930" s="1" t="s">
        <v>595</v>
      </c>
      <c r="B930" s="28"/>
      <c r="C930" s="14" t="s">
        <v>1046</v>
      </c>
      <c r="D930" s="154"/>
      <c r="E930" s="14" t="s">
        <v>1047</v>
      </c>
      <c r="F930" s="154" t="str">
        <f>IF(wskakunin__bouka="", "", wskakunin__bouka)</f>
        <v/>
      </c>
      <c r="H930" s="17"/>
    </row>
    <row r="931" spans="1:8" ht="15" customHeight="1">
      <c r="A931" s="7"/>
      <c r="B931" s="72" t="s">
        <v>456</v>
      </c>
      <c r="C931" s="14" t="s">
        <v>1048</v>
      </c>
      <c r="D931" s="154"/>
      <c r="E931" s="14" t="s">
        <v>1049</v>
      </c>
      <c r="F931" s="154" t="str">
        <f>IF(wskakunin_BOUKA_BOUKA=1,"■","□")</f>
        <v>□</v>
      </c>
      <c r="H931" s="17"/>
    </row>
    <row r="932" spans="1:8" ht="15" customHeight="1">
      <c r="A932" s="7"/>
      <c r="B932" s="72" t="s">
        <v>457</v>
      </c>
      <c r="C932" s="14" t="s">
        <v>1050</v>
      </c>
      <c r="D932" s="154"/>
      <c r="E932" s="14" t="s">
        <v>1051</v>
      </c>
      <c r="F932" s="154" t="str">
        <f>IF(wskakunin_BOUKA_JYUN_BOUKA=1,"■","□")</f>
        <v>□</v>
      </c>
      <c r="H932" s="17"/>
    </row>
    <row r="933" spans="1:8" ht="15" customHeight="1">
      <c r="A933" s="7"/>
      <c r="B933" s="72" t="s">
        <v>217</v>
      </c>
      <c r="C933" s="14" t="s">
        <v>1052</v>
      </c>
      <c r="D933" s="154"/>
      <c r="E933" s="14" t="s">
        <v>1053</v>
      </c>
      <c r="F933" s="154" t="str">
        <f>IF(wskakunin_BOUKA_NASI=1,"■","□")</f>
        <v>□</v>
      </c>
      <c r="H933" s="17"/>
    </row>
    <row r="934" spans="1:8" ht="15" customHeight="1">
      <c r="A934" s="7"/>
      <c r="B934" s="72" t="s">
        <v>458</v>
      </c>
      <c r="C934" s="14" t="s">
        <v>1054</v>
      </c>
      <c r="D934" s="154"/>
      <c r="E934" s="14" t="s">
        <v>1055</v>
      </c>
      <c r="F934" s="154" t="str">
        <f>IF(wskakunin_BOUKA_22JYO=1,"■","□")</f>
        <v>□</v>
      </c>
      <c r="H934" s="17"/>
    </row>
    <row r="935" spans="1:8" ht="15" customHeight="1">
      <c r="A935" s="8"/>
      <c r="B935" s="73"/>
      <c r="D935" s="17"/>
      <c r="F935" s="17"/>
      <c r="H935" s="17"/>
    </row>
    <row r="936" spans="1:8" ht="15" customHeight="1">
      <c r="A936" s="1" t="s">
        <v>596</v>
      </c>
      <c r="B936" s="28"/>
      <c r="C936" s="14" t="s">
        <v>1056</v>
      </c>
      <c r="D936" s="154"/>
      <c r="E936" s="14" t="s">
        <v>1057</v>
      </c>
      <c r="F936" s="154" t="str">
        <f>IF(wskakunin_SONOTA_KUIKI="","",wskakunin_SONOTA_KUIKI)</f>
        <v/>
      </c>
      <c r="H936" s="17"/>
    </row>
    <row r="937" spans="1:8" ht="15" customHeight="1">
      <c r="A937" s="8"/>
      <c r="B937" s="63"/>
      <c r="H937" s="17"/>
    </row>
    <row r="938" spans="1:8" ht="15" customHeight="1">
      <c r="A938" s="27" t="s">
        <v>597</v>
      </c>
      <c r="B938" s="27"/>
      <c r="D938" s="17"/>
      <c r="F938" s="17"/>
      <c r="H938" s="17"/>
    </row>
    <row r="939" spans="1:8" ht="15" customHeight="1">
      <c r="A939" s="27"/>
      <c r="B939" s="72" t="s">
        <v>598</v>
      </c>
      <c r="C939" s="14" t="s">
        <v>1058</v>
      </c>
      <c r="D939" s="257"/>
      <c r="E939" s="14" t="s">
        <v>1059</v>
      </c>
      <c r="F939" s="257" t="str">
        <f>IF(wskakunin_DOURO_FUKUIN="","",wskakunin_DOURO_FUKUIN)</f>
        <v/>
      </c>
      <c r="H939" s="17"/>
    </row>
    <row r="940" spans="1:8" ht="15" customHeight="1">
      <c r="A940" s="27"/>
      <c r="B940" s="72" t="s">
        <v>599</v>
      </c>
      <c r="C940" s="14" t="s">
        <v>1060</v>
      </c>
      <c r="D940" s="257"/>
      <c r="E940" s="14" t="s">
        <v>1061</v>
      </c>
      <c r="F940" s="257" t="str">
        <f>IF(wskakunin_DOURO_NAGASA="","",wskakunin_DOURO_NAGASA)</f>
        <v/>
      </c>
      <c r="H940" s="17"/>
    </row>
    <row r="941" spans="1:8" ht="15" customHeight="1">
      <c r="A941" s="27"/>
      <c r="B941" s="73"/>
      <c r="D941" s="17"/>
      <c r="F941" s="17"/>
      <c r="H941" s="17"/>
    </row>
    <row r="942" spans="1:8" ht="15" customHeight="1">
      <c r="A942" s="68" t="s">
        <v>600</v>
      </c>
      <c r="B942" s="69"/>
      <c r="D942" s="17"/>
      <c r="F942" s="17"/>
      <c r="H942" s="17"/>
    </row>
    <row r="943" spans="1:8" ht="15" customHeight="1">
      <c r="A943" s="45" t="s">
        <v>707</v>
      </c>
      <c r="B943" s="70"/>
      <c r="D943" s="17"/>
      <c r="F943" s="17"/>
      <c r="H943" s="17"/>
    </row>
    <row r="944" spans="1:8" ht="15" customHeight="1">
      <c r="A944" s="7"/>
      <c r="B944" s="72" t="s">
        <v>1062</v>
      </c>
      <c r="C944" s="14" t="s">
        <v>1063</v>
      </c>
      <c r="D944" s="258"/>
      <c r="E944" s="14" t="s">
        <v>1064</v>
      </c>
      <c r="F944" s="258" t="str">
        <f>IF(wskakunin_SHIKITI_MENSEKI_1A="","",wskakunin_SHIKITI_MENSEKI_1A)</f>
        <v/>
      </c>
      <c r="H944" s="17"/>
    </row>
    <row r="945" spans="1:8" ht="15" customHeight="1">
      <c r="A945" s="7"/>
      <c r="B945" s="72" t="s">
        <v>1065</v>
      </c>
      <c r="C945" s="14" t="s">
        <v>1066</v>
      </c>
      <c r="D945" s="258"/>
      <c r="E945" s="14" t="s">
        <v>1067</v>
      </c>
      <c r="F945" s="258" t="str">
        <f>IF(wskakunin_SHIKITI_MENSEKI_1B="","",wskakunin_SHIKITI_MENSEKI_1B)</f>
        <v/>
      </c>
      <c r="H945" s="17"/>
    </row>
    <row r="946" spans="1:8" ht="15" customHeight="1">
      <c r="A946" s="7"/>
      <c r="B946" s="72" t="s">
        <v>1068</v>
      </c>
      <c r="C946" s="14" t="s">
        <v>1069</v>
      </c>
      <c r="D946" s="258"/>
      <c r="E946" s="14" t="s">
        <v>1070</v>
      </c>
      <c r="F946" s="258" t="str">
        <f>IF(wskakunin_SHIKITI_MENSEKI_1C="","",wskakunin_SHIKITI_MENSEKI_1C)</f>
        <v/>
      </c>
      <c r="H946" s="17"/>
    </row>
    <row r="947" spans="1:8" ht="15" customHeight="1">
      <c r="A947" s="7"/>
      <c r="B947" s="72" t="s">
        <v>1071</v>
      </c>
      <c r="C947" s="14" t="s">
        <v>1072</v>
      </c>
      <c r="D947" s="258"/>
      <c r="E947" s="14" t="s">
        <v>1073</v>
      </c>
      <c r="F947" s="258" t="str">
        <f>IF(wskakunin_SHIKITI_MENSEKI_1D="","",wskakunin_SHIKITI_MENSEKI_1D)</f>
        <v/>
      </c>
      <c r="H947" s="17"/>
    </row>
    <row r="948" spans="1:8" ht="15" customHeight="1">
      <c r="A948" s="7"/>
      <c r="B948" s="72" t="s">
        <v>1074</v>
      </c>
      <c r="C948" s="14" t="s">
        <v>1075</v>
      </c>
      <c r="D948" s="258"/>
      <c r="E948" s="14" t="s">
        <v>1076</v>
      </c>
      <c r="F948" s="258" t="str">
        <f>IF(wskakunin_SHIKITI_MENSEKI_2A="","",wskakunin_SHIKITI_MENSEKI_2A)</f>
        <v/>
      </c>
      <c r="H948" s="17"/>
    </row>
    <row r="949" spans="1:8" ht="15" customHeight="1">
      <c r="A949" s="7"/>
      <c r="B949" s="72" t="s">
        <v>1077</v>
      </c>
      <c r="C949" s="14" t="s">
        <v>1078</v>
      </c>
      <c r="D949" s="258"/>
      <c r="E949" s="14" t="s">
        <v>1079</v>
      </c>
      <c r="F949" s="258" t="str">
        <f>IF(wskakunin_SHIKITI_MENSEKI_2B="","",wskakunin_SHIKITI_MENSEKI_2B)</f>
        <v/>
      </c>
      <c r="H949" s="17"/>
    </row>
    <row r="950" spans="1:8" ht="15" customHeight="1">
      <c r="A950" s="7"/>
      <c r="B950" s="72" t="s">
        <v>1080</v>
      </c>
      <c r="C950" s="14" t="s">
        <v>1081</v>
      </c>
      <c r="D950" s="258"/>
      <c r="E950" s="14" t="s">
        <v>1082</v>
      </c>
      <c r="F950" s="258" t="str">
        <f>IF(wskakunin_SHIKITI_MENSEKI_2C="","",wskakunin_SHIKITI_MENSEKI_2C)</f>
        <v/>
      </c>
      <c r="H950" s="17"/>
    </row>
    <row r="951" spans="1:8" ht="15" customHeight="1">
      <c r="A951" s="7"/>
      <c r="B951" s="43" t="s">
        <v>1083</v>
      </c>
      <c r="C951" s="14" t="s">
        <v>1084</v>
      </c>
      <c r="D951" s="258"/>
      <c r="E951" s="14" t="s">
        <v>1085</v>
      </c>
      <c r="F951" s="258" t="str">
        <f>IF(wskakunin_SHIKITI_MENSEKI_2D="","",wskakunin_SHIKITI_MENSEKI_2D)</f>
        <v/>
      </c>
      <c r="H951" s="17"/>
    </row>
    <row r="952" spans="1:8" ht="15" customHeight="1">
      <c r="A952" s="45" t="s">
        <v>218</v>
      </c>
      <c r="B952" s="70"/>
      <c r="D952" s="17"/>
      <c r="F952" s="17"/>
      <c r="H952" s="17"/>
    </row>
    <row r="953" spans="1:8" ht="15" customHeight="1">
      <c r="A953" s="7"/>
      <c r="B953" s="72" t="s">
        <v>1086</v>
      </c>
      <c r="C953" s="14" t="s">
        <v>1087</v>
      </c>
      <c r="D953" s="154"/>
      <c r="E953" s="14" t="s">
        <v>1088</v>
      </c>
      <c r="F953" s="154" t="str">
        <f>IF(wskakunin_YOUTO_TIIKI_A="", "", wskakunin_YOUTO_TIIKI_A)</f>
        <v/>
      </c>
      <c r="H953" s="17"/>
    </row>
    <row r="954" spans="1:8" ht="15" customHeight="1">
      <c r="A954" s="7"/>
      <c r="B954" s="72" t="s">
        <v>1089</v>
      </c>
      <c r="C954" s="14" t="s">
        <v>1090</v>
      </c>
      <c r="D954" s="154"/>
      <c r="E954" s="14" t="s">
        <v>1091</v>
      </c>
      <c r="F954" s="154" t="str">
        <f>IF(wskakunin_YOUTO_TIIKI_B="","",wskakunin_YOUTO_TIIKI_B)</f>
        <v/>
      </c>
      <c r="H954" s="17"/>
    </row>
    <row r="955" spans="1:8" ht="15" customHeight="1">
      <c r="A955" s="7"/>
      <c r="B955" s="72" t="s">
        <v>1092</v>
      </c>
      <c r="C955" s="14" t="s">
        <v>1093</v>
      </c>
      <c r="D955" s="154"/>
      <c r="E955" s="14" t="s">
        <v>1094</v>
      </c>
      <c r="F955" s="154" t="str">
        <f>IF(wskakunin_YOUTO_TIIKI_C="","",wskakunin_YOUTO_TIIKI_C)</f>
        <v/>
      </c>
      <c r="H955" s="17"/>
    </row>
    <row r="956" spans="1:8" ht="15" customHeight="1">
      <c r="A956" s="71"/>
      <c r="B956" s="72" t="s">
        <v>1095</v>
      </c>
      <c r="C956" s="14" t="s">
        <v>1096</v>
      </c>
      <c r="D956" s="154"/>
      <c r="E956" s="14" t="s">
        <v>1097</v>
      </c>
      <c r="F956" s="154" t="str">
        <f>IF(wskakunin_YOUTO_TIIKI_D="","",wskakunin_YOUTO_TIIKI_D)</f>
        <v/>
      </c>
      <c r="G956" s="14" t="s">
        <v>616</v>
      </c>
      <c r="H956" s="17"/>
    </row>
    <row r="957" spans="1:8" ht="15" customHeight="1">
      <c r="A957" s="45" t="s">
        <v>200</v>
      </c>
      <c r="B957" s="70"/>
      <c r="D957" s="17"/>
      <c r="F957" s="17"/>
      <c r="H957" s="17"/>
    </row>
    <row r="958" spans="1:8" ht="15" customHeight="1">
      <c r="A958" s="7"/>
      <c r="B958" s="72" t="s">
        <v>1086</v>
      </c>
      <c r="C958" s="14" t="s">
        <v>1098</v>
      </c>
      <c r="D958" s="258"/>
      <c r="E958" s="108" t="s">
        <v>1099</v>
      </c>
      <c r="F958" s="258" t="str">
        <f>IF(wskakunin_YOUSEKI_RITU_A="","",wskakunin_YOUSEKI_RITU_A)</f>
        <v/>
      </c>
      <c r="H958" s="17"/>
    </row>
    <row r="959" spans="1:8" ht="15" customHeight="1">
      <c r="A959" s="7"/>
      <c r="B959" s="72" t="s">
        <v>1089</v>
      </c>
      <c r="C959" s="14" t="s">
        <v>1100</v>
      </c>
      <c r="D959" s="258"/>
      <c r="E959" s="108" t="s">
        <v>1101</v>
      </c>
      <c r="F959" s="258" t="str">
        <f>IF(wskakunin_YOUSEKI_RITU_B="","",wskakunin_YOUSEKI_RITU_B)</f>
        <v/>
      </c>
      <c r="H959" s="17"/>
    </row>
    <row r="960" spans="1:8" ht="15" customHeight="1">
      <c r="A960" s="7"/>
      <c r="B960" s="72" t="s">
        <v>1092</v>
      </c>
      <c r="C960" s="14" t="s">
        <v>1102</v>
      </c>
      <c r="D960" s="258"/>
      <c r="E960" s="108" t="s">
        <v>1103</v>
      </c>
      <c r="F960" s="258" t="str">
        <f>IF(wskakunin_YOUSEKI_RITU_C="","",wskakunin_YOUSEKI_RITU_C)</f>
        <v/>
      </c>
      <c r="H960" s="17"/>
    </row>
    <row r="961" spans="1:8" ht="15" customHeight="1">
      <c r="A961" s="71"/>
      <c r="B961" s="72" t="s">
        <v>1095</v>
      </c>
      <c r="C961" s="14" t="s">
        <v>1104</v>
      </c>
      <c r="D961" s="258"/>
      <c r="E961" s="108" t="s">
        <v>1105</v>
      </c>
      <c r="F961" s="258" t="str">
        <f>IF(wskakunin_YOUSEKI_RITU_D="","",wskakunin_YOUSEKI_RITU_D)</f>
        <v/>
      </c>
      <c r="H961" s="17"/>
    </row>
    <row r="962" spans="1:8" ht="15" customHeight="1">
      <c r="A962" s="45" t="s">
        <v>601</v>
      </c>
      <c r="B962" s="70"/>
      <c r="D962" s="109"/>
      <c r="E962" s="108"/>
      <c r="F962" s="109"/>
      <c r="H962" s="17"/>
    </row>
    <row r="963" spans="1:8" ht="15" customHeight="1">
      <c r="A963" s="7"/>
      <c r="B963" s="72" t="s">
        <v>1086</v>
      </c>
      <c r="C963" s="14" t="s">
        <v>1106</v>
      </c>
      <c r="D963" s="258"/>
      <c r="E963" s="108" t="s">
        <v>1107</v>
      </c>
      <c r="F963" s="258" t="str">
        <f>IF(wskakunin_KENPEI_RITU_A="","",wskakunin_KENPEI_RITU_A)</f>
        <v/>
      </c>
      <c r="H963" s="17"/>
    </row>
    <row r="964" spans="1:8" ht="15" customHeight="1">
      <c r="A964" s="7"/>
      <c r="B964" s="72" t="s">
        <v>1089</v>
      </c>
      <c r="C964" s="14" t="s">
        <v>1108</v>
      </c>
      <c r="D964" s="258"/>
      <c r="E964" s="108" t="s">
        <v>1109</v>
      </c>
      <c r="F964" s="258" t="str">
        <f>IF(wskakunin_KENPEI_RITU_B="","",wskakunin_KENPEI_RITU_B)</f>
        <v/>
      </c>
    </row>
    <row r="965" spans="1:8" ht="15" customHeight="1">
      <c r="A965" s="7"/>
      <c r="B965" s="72" t="s">
        <v>1092</v>
      </c>
      <c r="C965" s="14" t="s">
        <v>1110</v>
      </c>
      <c r="D965" s="258"/>
      <c r="E965" s="108" t="s">
        <v>1111</v>
      </c>
      <c r="F965" s="258" t="str">
        <f>IF(wskakunin_KENPEI_RITU_C="","",wskakunin_KENPEI_RITU_C)</f>
        <v/>
      </c>
    </row>
    <row r="966" spans="1:8" ht="15" customHeight="1">
      <c r="A966" s="71"/>
      <c r="B966" s="72" t="s">
        <v>1095</v>
      </c>
      <c r="C966" s="14" t="s">
        <v>1112</v>
      </c>
      <c r="D966" s="258"/>
      <c r="E966" s="108" t="s">
        <v>1113</v>
      </c>
      <c r="F966" s="258" t="str">
        <f>IF(wskakunin_KENPEI_RITU_D="","",wskakunin_KENPEI_RITU_D)</f>
        <v/>
      </c>
    </row>
    <row r="967" spans="1:8" ht="15" customHeight="1">
      <c r="A967" s="7" t="s">
        <v>708</v>
      </c>
      <c r="B967" s="29"/>
      <c r="D967" s="109"/>
      <c r="E967" s="108"/>
      <c r="F967" s="109"/>
    </row>
    <row r="968" spans="1:8" ht="15" customHeight="1">
      <c r="A968" s="7"/>
      <c r="B968" s="72" t="s">
        <v>1114</v>
      </c>
      <c r="C968" s="14" t="s">
        <v>1115</v>
      </c>
      <c r="D968" s="258"/>
      <c r="E968" s="14" t="s">
        <v>1116</v>
      </c>
      <c r="F968" s="154" t="str">
        <f>IF(wskakunin_SHIKITI_MENSEKI_1_TOTAL="", "", wskakunin_SHIKITI_MENSEKI_1_TOTAL)</f>
        <v/>
      </c>
    </row>
    <row r="969" spans="1:8" ht="15" customHeight="1">
      <c r="A969" s="224"/>
      <c r="B969" s="72" t="s">
        <v>2931</v>
      </c>
      <c r="D969" s="109"/>
      <c r="E969" s="14" t="s">
        <v>2932</v>
      </c>
      <c r="F969" s="154" t="str">
        <f>IF(OR(wskakunin_SHIKITI_MENSEKI_1_TOTAL="",wskakunin_KOUJI_SINTIKU&lt;&gt;1), "", wskakunin_SHIKITI_MENSEKI_1_TOTAL)</f>
        <v/>
      </c>
    </row>
    <row r="970" spans="1:8" ht="15" customHeight="1">
      <c r="A970" s="7"/>
      <c r="B970" s="72" t="s">
        <v>1117</v>
      </c>
      <c r="C970" s="14" t="s">
        <v>1118</v>
      </c>
      <c r="D970" s="258"/>
      <c r="E970" s="108" t="s">
        <v>1119</v>
      </c>
      <c r="F970" s="258" t="str">
        <f>IF(wskakunin_SHIKITI_MENSEKI_2_TOTAL="","",wskakunin_SHIKITI_MENSEKI_2_TOTAL)</f>
        <v/>
      </c>
    </row>
    <row r="971" spans="1:8" ht="15" customHeight="1">
      <c r="A971" s="7"/>
      <c r="B971" s="83" t="s">
        <v>1120</v>
      </c>
      <c r="C971" s="14" t="s">
        <v>1121</v>
      </c>
      <c r="D971" s="258"/>
      <c r="E971" s="108" t="s">
        <v>1122</v>
      </c>
      <c r="F971" s="258" t="str">
        <f>IF(wskakunin_LIMIT_YOUSEKI_RITU="","",wskakunin_LIMIT_YOUSEKI_RITU)</f>
        <v/>
      </c>
    </row>
    <row r="972" spans="1:8" ht="15" customHeight="1">
      <c r="A972" s="7"/>
      <c r="B972" s="83" t="s">
        <v>1123</v>
      </c>
      <c r="C972" s="14" t="s">
        <v>1124</v>
      </c>
      <c r="D972" s="258"/>
      <c r="E972" s="108" t="s">
        <v>1125</v>
      </c>
      <c r="F972" s="258" t="str">
        <f>IF(wskakunin_LIMIT_KENPEI_RITU="","",wskakunin_LIMIT_KENPEI_RITU)</f>
        <v/>
      </c>
    </row>
    <row r="973" spans="1:8" ht="15" customHeight="1">
      <c r="A973" s="8"/>
      <c r="B973" s="73" t="s">
        <v>484</v>
      </c>
      <c r="C973" s="14" t="s">
        <v>1126</v>
      </c>
      <c r="D973" s="154"/>
      <c r="E973" s="14" t="s">
        <v>1127</v>
      </c>
      <c r="F973" s="154" t="str">
        <f>IF(wskakunin_SHIKITI_MENSEKI_BIKOU="","",wskakunin_SHIKITI_MENSEKI_BIKOU)</f>
        <v/>
      </c>
    </row>
    <row r="974" spans="1:8" ht="15" customHeight="1">
      <c r="A974" s="46" t="s">
        <v>602</v>
      </c>
      <c r="B974" s="47"/>
      <c r="D974" s="17"/>
      <c r="F974" s="17"/>
    </row>
    <row r="975" spans="1:8" ht="15" customHeight="1">
      <c r="A975" s="84"/>
      <c r="B975" s="78" t="s">
        <v>1128</v>
      </c>
      <c r="C975" s="14" t="s">
        <v>1129</v>
      </c>
      <c r="D975" s="240"/>
      <c r="E975" s="14" t="s">
        <v>1130</v>
      </c>
      <c r="F975" s="240" t="str">
        <f>IF(wskakunin_YOUTO_CODE="","",wskakunin_YOUTO_CODE)</f>
        <v/>
      </c>
    </row>
    <row r="976" spans="1:8" ht="15" customHeight="1">
      <c r="A976" s="84"/>
      <c r="B976" s="78" t="s">
        <v>123</v>
      </c>
      <c r="C976" s="14" t="s">
        <v>1131</v>
      </c>
      <c r="D976" s="154"/>
      <c r="E976" s="14" t="s">
        <v>1132</v>
      </c>
      <c r="F976" s="154" t="str">
        <f>IF(wskakunin_YOUTO="", "", wskakunin_YOUTO)</f>
        <v/>
      </c>
    </row>
    <row r="977" spans="1:7" ht="15" customHeight="1">
      <c r="A977" s="137"/>
      <c r="B977" s="86" t="s">
        <v>2700</v>
      </c>
      <c r="C977" s="14" t="s">
        <v>2701</v>
      </c>
      <c r="D977" s="154"/>
      <c r="E977" s="14" t="s">
        <v>2702</v>
      </c>
      <c r="F977" s="154" t="str">
        <f>IF(shinsei_UNIT_COUNT="","",shinsei_UNIT_COUNT)</f>
        <v/>
      </c>
    </row>
    <row r="978" spans="1:7" ht="15" customHeight="1">
      <c r="A978" s="1" t="s">
        <v>603</v>
      </c>
      <c r="B978" s="69"/>
      <c r="D978" s="17"/>
      <c r="F978" s="17"/>
    </row>
    <row r="979" spans="1:7" ht="15" customHeight="1">
      <c r="A979" s="71"/>
      <c r="B979" s="72" t="s">
        <v>2328</v>
      </c>
      <c r="C979" s="14" t="s">
        <v>1133</v>
      </c>
      <c r="D979" s="154" t="s">
        <v>459</v>
      </c>
      <c r="E979" s="14" t="s">
        <v>1134</v>
      </c>
      <c r="F979" s="154" t="str">
        <f>IF(wskakunin__kouji="", "", wskakunin__kouji)</f>
        <v>新築</v>
      </c>
    </row>
    <row r="980" spans="1:7" ht="15" customHeight="1">
      <c r="A980" s="7"/>
      <c r="B980" s="72" t="s">
        <v>459</v>
      </c>
      <c r="C980" s="14" t="s">
        <v>1135</v>
      </c>
      <c r="D980" s="154">
        <v>1</v>
      </c>
      <c r="E980" s="14" t="s">
        <v>2336</v>
      </c>
      <c r="F980" s="154" t="str">
        <f>IF(wskakunin_KOUJI_SINTIKU=1,"■","□")</f>
        <v>■</v>
      </c>
    </row>
    <row r="981" spans="1:7" ht="15" customHeight="1">
      <c r="A981" s="7"/>
      <c r="B981" s="72" t="s">
        <v>460</v>
      </c>
      <c r="C981" s="14" t="s">
        <v>1136</v>
      </c>
      <c r="D981" s="154"/>
      <c r="E981" s="14" t="s">
        <v>2337</v>
      </c>
      <c r="F981" s="154" t="str">
        <f>IF(wskakunin_KOUJI_ZOUTIKU=1,"■","□")</f>
        <v>□</v>
      </c>
    </row>
    <row r="982" spans="1:7" ht="15" customHeight="1">
      <c r="A982" s="7"/>
      <c r="B982" s="72" t="s">
        <v>461</v>
      </c>
      <c r="C982" s="14" t="s">
        <v>1137</v>
      </c>
      <c r="D982" s="154"/>
      <c r="E982" s="14" t="s">
        <v>2338</v>
      </c>
      <c r="F982" s="154" t="str">
        <f>IF(wskakunin_KOUJI_KAITIKU=1,"■","□")</f>
        <v>□</v>
      </c>
    </row>
    <row r="983" spans="1:7" ht="15" customHeight="1">
      <c r="A983" s="7"/>
      <c r="B983" s="72" t="s">
        <v>462</v>
      </c>
      <c r="C983" s="14" t="s">
        <v>1138</v>
      </c>
      <c r="D983" s="154"/>
      <c r="E983" s="14" t="s">
        <v>2339</v>
      </c>
      <c r="F983" s="154" t="str">
        <f>IF(wskakunin_KOUJI_ITEN=1,"■","□")</f>
        <v>□</v>
      </c>
    </row>
    <row r="984" spans="1:7" ht="15" customHeight="1">
      <c r="A984" s="7"/>
      <c r="B984" s="72" t="s">
        <v>604</v>
      </c>
      <c r="C984" s="14" t="s">
        <v>1139</v>
      </c>
      <c r="D984" s="154"/>
      <c r="E984" s="14" t="s">
        <v>2340</v>
      </c>
      <c r="F984" s="154" t="str">
        <f>IF(wskakunin_KOUJI_YOUTOHENKOU=1,"■","□")</f>
        <v>□</v>
      </c>
      <c r="G984" s="14" t="s">
        <v>2330</v>
      </c>
    </row>
    <row r="985" spans="1:7" ht="15" customHeight="1">
      <c r="A985" s="7"/>
      <c r="B985" s="72" t="s">
        <v>1140</v>
      </c>
      <c r="C985" s="14" t="s">
        <v>1141</v>
      </c>
      <c r="D985" s="154"/>
      <c r="E985" s="14" t="s">
        <v>2341</v>
      </c>
      <c r="F985" s="154" t="str">
        <f>IF(wskakunin_KOUJI_DAI_SYUUZEN=1,"■","□")</f>
        <v>□</v>
      </c>
    </row>
    <row r="986" spans="1:7" ht="15" customHeight="1">
      <c r="A986" s="7"/>
      <c r="B986" s="72" t="s">
        <v>1142</v>
      </c>
      <c r="C986" s="14" t="s">
        <v>1143</v>
      </c>
      <c r="D986" s="154"/>
      <c r="E986" s="14" t="s">
        <v>2342</v>
      </c>
      <c r="F986" s="154" t="str">
        <f>IF(wskakunin_KOUJI_DAI_MOYOUGAE=1,"■","□")</f>
        <v>□</v>
      </c>
    </row>
    <row r="987" spans="1:7" ht="15" customHeight="1">
      <c r="A987" s="7"/>
      <c r="B987" s="72" t="s">
        <v>1144</v>
      </c>
      <c r="C987" s="14" t="s">
        <v>1145</v>
      </c>
      <c r="D987" s="154"/>
      <c r="E987" s="14" t="s">
        <v>2741</v>
      </c>
      <c r="F987" s="154" t="str">
        <f>IF(wskakuninKOUJI_SETUBI=1,"■","□")</f>
        <v>□</v>
      </c>
      <c r="G987" s="14" t="s">
        <v>2329</v>
      </c>
    </row>
    <row r="988" spans="1:7" ht="15" customHeight="1">
      <c r="A988" s="71"/>
      <c r="B988" s="72"/>
    </row>
    <row r="989" spans="1:7" ht="15" customHeight="1">
      <c r="A989" s="7" t="s">
        <v>2510</v>
      </c>
      <c r="B989" s="142"/>
      <c r="E989" s="156"/>
      <c r="F989" s="156"/>
    </row>
    <row r="990" spans="1:7" ht="15" customHeight="1">
      <c r="A990" s="7"/>
      <c r="B990" s="152" t="s">
        <v>2509</v>
      </c>
      <c r="C990" s="14" t="s">
        <v>2511</v>
      </c>
      <c r="D990" s="154"/>
      <c r="E990" s="14" t="s">
        <v>2515</v>
      </c>
      <c r="F990" s="154" t="str">
        <f>IF(wskakunin_gaiyou1_WORK_SYURUI_CODE="","",wskakunin_gaiyou1_WORK_SYURUI_CODE)</f>
        <v/>
      </c>
    </row>
    <row r="991" spans="1:7" ht="15" customHeight="1">
      <c r="A991" s="7"/>
      <c r="B991" s="152" t="s">
        <v>2519</v>
      </c>
      <c r="C991" s="14" t="s">
        <v>2512</v>
      </c>
      <c r="D991" s="154"/>
      <c r="E991" s="14" t="s">
        <v>2516</v>
      </c>
      <c r="F991" s="154" t="str">
        <f>IF(wskakunin_gaiyou1_WORK_SYURUI="","",wskakunin_gaiyou1_WORK_SYURUI)</f>
        <v/>
      </c>
    </row>
    <row r="992" spans="1:7" ht="15" customHeight="1">
      <c r="A992" s="7"/>
      <c r="B992" s="152" t="s">
        <v>2520</v>
      </c>
      <c r="C992" s="14" t="s">
        <v>2513</v>
      </c>
      <c r="D992" s="154"/>
      <c r="E992" s="14" t="s">
        <v>2517</v>
      </c>
      <c r="F992" s="154" t="str">
        <f>IF(wskakunin_gaiyou1_TAKASA="","",wskakunin_gaiyou1_TAKASA)</f>
        <v/>
      </c>
    </row>
    <row r="993" spans="1:6" ht="15" customHeight="1">
      <c r="A993" s="7"/>
      <c r="B993" s="152" t="s">
        <v>136</v>
      </c>
      <c r="C993" s="14" t="s">
        <v>2514</v>
      </c>
      <c r="D993" s="154"/>
      <c r="E993" s="14" t="s">
        <v>2518</v>
      </c>
      <c r="F993" s="154" t="str">
        <f>IF(wskakunin_gaiyou1_KOUZOU="","",wskakunin_gaiyou1_KOUZOU)</f>
        <v/>
      </c>
    </row>
    <row r="994" spans="1:6" ht="15" customHeight="1">
      <c r="A994" s="7"/>
      <c r="B994" s="75" t="s">
        <v>2666</v>
      </c>
      <c r="C994" s="14" t="s">
        <v>2667</v>
      </c>
      <c r="D994" s="44"/>
      <c r="E994" s="14" t="s">
        <v>2668</v>
      </c>
      <c r="F994" s="44" t="str">
        <f>IF(wskakunin_gaiyou1_KOUJI_SINTIKU=1,"■","□")</f>
        <v>□</v>
      </c>
    </row>
    <row r="995" spans="1:6" ht="15" customHeight="1">
      <c r="A995" s="7"/>
      <c r="B995" s="75" t="s">
        <v>2669</v>
      </c>
      <c r="C995" s="14" t="s">
        <v>2670</v>
      </c>
      <c r="D995" s="44"/>
      <c r="E995" s="14" t="s">
        <v>2671</v>
      </c>
      <c r="F995" s="44" t="str">
        <f>IF(wskakunin_gaiyou1_KOUJI_ZOUTIKU=1,"■","□")</f>
        <v>□</v>
      </c>
    </row>
    <row r="996" spans="1:6" ht="15" customHeight="1">
      <c r="A996" s="7"/>
      <c r="B996" s="75" t="s">
        <v>2672</v>
      </c>
      <c r="C996" s="14" t="s">
        <v>2673</v>
      </c>
      <c r="D996" s="44"/>
      <c r="E996" s="14" t="s">
        <v>2674</v>
      </c>
      <c r="F996" s="44" t="str">
        <f>IF(wskakunin_gaiyou1_KOUJI_KAITIKU=1,"■","□")</f>
        <v>□</v>
      </c>
    </row>
    <row r="997" spans="1:6" ht="15" customHeight="1">
      <c r="A997" s="7"/>
      <c r="B997" s="75" t="s">
        <v>2675</v>
      </c>
      <c r="C997" s="14" t="s">
        <v>2676</v>
      </c>
      <c r="D997" s="44"/>
      <c r="E997" s="14" t="s">
        <v>2677</v>
      </c>
      <c r="F997" s="44" t="str">
        <f>IF(wskakunin_gaiyou1_KOUJI_SONOTA=1,"■","□")</f>
        <v>□</v>
      </c>
    </row>
    <row r="998" spans="1:6" ht="15" customHeight="1">
      <c r="A998" s="7"/>
      <c r="B998" s="75" t="s">
        <v>2678</v>
      </c>
      <c r="C998" s="14" t="s">
        <v>2679</v>
      </c>
      <c r="D998" s="44"/>
      <c r="E998" s="14" t="s">
        <v>2680</v>
      </c>
      <c r="F998" s="44" t="str">
        <f>IF(wskakunin_gaiyou1_KOUJI_SONOTA_TEXT="","",wskakunin_gaiyou1_KOUJI_SONOTA_TEXT)</f>
        <v/>
      </c>
    </row>
    <row r="999" spans="1:6" ht="15" customHeight="1">
      <c r="A999" s="7"/>
      <c r="B999" s="152"/>
      <c r="D999" s="17"/>
      <c r="F999" s="17"/>
    </row>
    <row r="1000" spans="1:6" ht="15" customHeight="1">
      <c r="A1000" s="7"/>
      <c r="B1000" s="152" t="s">
        <v>2550</v>
      </c>
      <c r="C1000" s="14" t="s">
        <v>2556</v>
      </c>
      <c r="D1000" s="154"/>
      <c r="E1000" s="14" t="s">
        <v>2562</v>
      </c>
      <c r="F1000" s="154" t="str">
        <f>IF(wskakunin_gaiyou1_TIKUZOU_MENSEKI_SHINSEI="","",wskakunin_gaiyou1_TIKUZOU_MENSEKI_SHINSEI)</f>
        <v/>
      </c>
    </row>
    <row r="1001" spans="1:6" ht="15" customHeight="1">
      <c r="A1001" s="7"/>
      <c r="B1001" s="152" t="s">
        <v>2551</v>
      </c>
      <c r="C1001" s="14" t="s">
        <v>2557</v>
      </c>
      <c r="D1001" s="154"/>
      <c r="E1001" s="14" t="s">
        <v>2563</v>
      </c>
      <c r="F1001" s="154" t="str">
        <f>IF(wskakunin_gaiyou1_TIKUZOU_MENSEKI_IGAI="","",wskakunin_gaiyou1_TIKUZOU_MENSEKI_IGAI)</f>
        <v/>
      </c>
    </row>
    <row r="1002" spans="1:6" ht="15" customHeight="1">
      <c r="A1002" s="7"/>
      <c r="B1002" s="152" t="s">
        <v>2552</v>
      </c>
      <c r="C1002" s="14" t="s">
        <v>2558</v>
      </c>
      <c r="D1002" s="154"/>
      <c r="E1002" s="14" t="s">
        <v>2564</v>
      </c>
      <c r="F1002" s="154" t="str">
        <f>IF(wskakunin_gaiyou1_TIKUZOU_MENSEKI_TOTAL="","",wskakunin_gaiyou1_TIKUZOU_MENSEKI_TOTAL)</f>
        <v/>
      </c>
    </row>
    <row r="1003" spans="1:6" ht="15" customHeight="1">
      <c r="A1003" s="7"/>
      <c r="B1003" s="152" t="s">
        <v>2553</v>
      </c>
      <c r="C1003" s="14" t="s">
        <v>2559</v>
      </c>
      <c r="D1003" s="154"/>
      <c r="E1003" s="14" t="s">
        <v>2565</v>
      </c>
      <c r="F1003" s="154" t="str">
        <f>IF(wskakunin_gaiyou1_WORK_COUNT_SHINSEI="","",wskakunin_gaiyou1_WORK_COUNT_SHINSEI)</f>
        <v/>
      </c>
    </row>
    <row r="1004" spans="1:6" ht="15" customHeight="1">
      <c r="A1004" s="7"/>
      <c r="B1004" s="152" t="s">
        <v>2554</v>
      </c>
      <c r="C1004" s="14" t="s">
        <v>2560</v>
      </c>
      <c r="D1004" s="154"/>
      <c r="E1004" s="14" t="s">
        <v>2566</v>
      </c>
      <c r="F1004" s="154" t="str">
        <f>IF(wskakunin_gaiyou1_WORK_COUNT_IGAI="","",wskakunin_gaiyou1_WORK_COUNT_IGAI)</f>
        <v/>
      </c>
    </row>
    <row r="1005" spans="1:6" ht="15" customHeight="1">
      <c r="A1005" s="7"/>
      <c r="B1005" s="152" t="s">
        <v>2555</v>
      </c>
      <c r="C1005" s="14" t="s">
        <v>2561</v>
      </c>
      <c r="D1005" s="154"/>
      <c r="E1005" s="14" t="s">
        <v>2567</v>
      </c>
      <c r="F1005" s="154" t="str">
        <f>IF(wskakunin_gaiyou1_WORK_COUNT_TOTAL="","",wskakunin_gaiyou1_WORK_COUNT_TOTAL)</f>
        <v/>
      </c>
    </row>
    <row r="1006" spans="1:6" ht="15" customHeight="1">
      <c r="A1006" s="143"/>
      <c r="B1006" s="145"/>
      <c r="D1006" s="17"/>
    </row>
    <row r="1007" spans="1:6" ht="15" customHeight="1">
      <c r="A1007" s="7" t="s">
        <v>2521</v>
      </c>
      <c r="B1007" s="142"/>
      <c r="D1007" s="17"/>
    </row>
    <row r="1008" spans="1:6" ht="15" customHeight="1">
      <c r="A1008" s="7"/>
      <c r="B1008" s="152" t="s">
        <v>2522</v>
      </c>
      <c r="C1008" s="14" t="s">
        <v>2531</v>
      </c>
      <c r="D1008" s="154"/>
      <c r="E1008" s="14" t="s">
        <v>2540</v>
      </c>
      <c r="F1008" s="154" t="str">
        <f>IF(wskakunin_gaiyou1_NO="","",wskakunin_gaiyou1_NO)</f>
        <v/>
      </c>
    </row>
    <row r="1009" spans="1:6" ht="15" customHeight="1">
      <c r="A1009" s="7"/>
      <c r="B1009" s="152" t="s">
        <v>2523</v>
      </c>
      <c r="C1009" s="14" t="s">
        <v>2532</v>
      </c>
      <c r="D1009" s="154"/>
      <c r="E1009" s="14" t="s">
        <v>2541</v>
      </c>
      <c r="F1009" s="154" t="str">
        <f>IF(wskakunin_gaiyou1_EV_KIND="","",wskakunin_gaiyou1_EV_KIND)</f>
        <v/>
      </c>
    </row>
    <row r="1010" spans="1:6" ht="15" customHeight="1">
      <c r="A1010" s="7"/>
      <c r="B1010" s="152" t="s">
        <v>2524</v>
      </c>
      <c r="C1010" s="14" t="s">
        <v>2533</v>
      </c>
      <c r="D1010" s="154"/>
      <c r="E1010" s="14" t="s">
        <v>2542</v>
      </c>
      <c r="F1010" s="154" t="str">
        <f>IF(wskakunin_gaiyou1_YOUTO="","",wskakunin_gaiyou1_YOUTO)</f>
        <v/>
      </c>
    </row>
    <row r="1011" spans="1:6" ht="15" customHeight="1">
      <c r="A1011" s="7"/>
      <c r="B1011" s="152" t="s">
        <v>2525</v>
      </c>
      <c r="C1011" s="14" t="s">
        <v>2534</v>
      </c>
      <c r="D1011" s="154"/>
      <c r="E1011" s="14" t="s">
        <v>2543</v>
      </c>
      <c r="F1011" s="154" t="str">
        <f>IF(wskakunin_gaiyou1_SEKISAI="","",wskakunin_gaiyou1_SEKISAI)</f>
        <v/>
      </c>
    </row>
    <row r="1012" spans="1:6" ht="15" customHeight="1">
      <c r="A1012" s="7"/>
      <c r="B1012" s="152" t="s">
        <v>2526</v>
      </c>
      <c r="C1012" s="14" t="s">
        <v>2535</v>
      </c>
      <c r="D1012" s="154"/>
      <c r="E1012" s="14" t="s">
        <v>2544</v>
      </c>
      <c r="F1012" s="154" t="str">
        <f>IF(wskakunin_gaiyou1_TEIIN="","",wskakunin_gaiyou1_TEIIN)</f>
        <v/>
      </c>
    </row>
    <row r="1013" spans="1:6" ht="15" customHeight="1">
      <c r="A1013" s="7"/>
      <c r="B1013" s="152" t="s">
        <v>2527</v>
      </c>
      <c r="C1013" s="14" t="s">
        <v>2536</v>
      </c>
      <c r="D1013" s="154"/>
      <c r="E1013" s="14" t="s">
        <v>2545</v>
      </c>
      <c r="F1013" s="154" t="str">
        <f>IF(wskakunin_gaiyou1_SPEED="","",wskakunin_gaiyou1_SPEED)</f>
        <v/>
      </c>
    </row>
    <row r="1014" spans="1:6" ht="15" customHeight="1">
      <c r="A1014" s="7"/>
      <c r="B1014" s="152" t="s">
        <v>2528</v>
      </c>
      <c r="C1014" s="14" t="s">
        <v>2537</v>
      </c>
      <c r="D1014" s="154"/>
      <c r="E1014" s="14" t="s">
        <v>2546</v>
      </c>
      <c r="F1014" s="154" t="str">
        <f>IF(wskakunin_gaiyou1_SONOTA="","",wskakunin_gaiyou1_SONOTA)</f>
        <v/>
      </c>
    </row>
    <row r="1015" spans="1:6" ht="15" customHeight="1">
      <c r="A1015" s="7"/>
      <c r="B1015" s="152" t="s">
        <v>2529</v>
      </c>
      <c r="C1015" s="14" t="s">
        <v>2538</v>
      </c>
      <c r="D1015" s="154"/>
      <c r="E1015" s="14" t="s">
        <v>2547</v>
      </c>
      <c r="F1015" s="154" t="str">
        <f>IF(wskakunin_gaiyou1_NINSYOU_NO="","",wskakunin_gaiyou1_NINSYOU_NO)</f>
        <v/>
      </c>
    </row>
    <row r="1016" spans="1:6" ht="15" customHeight="1">
      <c r="A1016" s="7"/>
      <c r="B1016" s="152" t="s">
        <v>2530</v>
      </c>
      <c r="C1016" s="14" t="s">
        <v>2539</v>
      </c>
      <c r="D1016" s="154"/>
      <c r="E1016" s="14" t="s">
        <v>2548</v>
      </c>
      <c r="F1016" s="154" t="str">
        <f>IF(wskakunin_gaiyou1_SONOTA_and_NINSYOU_NO="","",wskakunin_gaiyou1_SONOTA_and_NINSYOU_NO)</f>
        <v/>
      </c>
    </row>
    <row r="1017" spans="1:6" ht="15" customHeight="1">
      <c r="A1017" s="7"/>
      <c r="B1017" s="145"/>
      <c r="D1017" s="17"/>
    </row>
    <row r="1018" spans="1:6" ht="15" customHeight="1">
      <c r="A1018" s="1" t="s">
        <v>605</v>
      </c>
      <c r="B1018" s="28"/>
      <c r="D1018" s="17"/>
      <c r="F1018" s="17"/>
    </row>
    <row r="1019" spans="1:6" ht="15" customHeight="1">
      <c r="A1019" s="7"/>
      <c r="B1019" s="72" t="s">
        <v>1146</v>
      </c>
      <c r="C1019" s="14" t="s">
        <v>1147</v>
      </c>
      <c r="D1019" s="259"/>
      <c r="E1019" s="14" t="s">
        <v>1148</v>
      </c>
      <c r="F1019" s="259" t="str">
        <f>IF(wskakunin_KENTIKU_MENSEKI_SHINSEI="", "", wskakunin_KENTIKU_MENSEKI_SHINSEI)</f>
        <v/>
      </c>
    </row>
    <row r="1020" spans="1:6" ht="15" customHeight="1">
      <c r="A1020" s="7"/>
      <c r="B1020" s="72" t="s">
        <v>606</v>
      </c>
      <c r="C1020" s="14" t="s">
        <v>1149</v>
      </c>
      <c r="D1020" s="259"/>
      <c r="E1020" s="14" t="s">
        <v>1150</v>
      </c>
      <c r="F1020" s="259" t="str">
        <f>IF(wskakunin_KENTIKU_MENSEKI_IGAI="","",wskakunin_KENTIKU_MENSEKI_IGAI)</f>
        <v/>
      </c>
    </row>
    <row r="1021" spans="1:6" ht="15" customHeight="1">
      <c r="A1021" s="7"/>
      <c r="B1021" s="72" t="s">
        <v>607</v>
      </c>
      <c r="C1021" s="14" t="s">
        <v>1151</v>
      </c>
      <c r="D1021" s="259"/>
      <c r="E1021" s="14" t="s">
        <v>1152</v>
      </c>
      <c r="F1021" s="259" t="str">
        <f>IF(wskakunin_KENTIKU_MENSEKI_TOTAL="","",wskakunin_KENTIKU_MENSEKI_TOTAL)</f>
        <v/>
      </c>
    </row>
    <row r="1022" spans="1:6" ht="15" customHeight="1">
      <c r="A1022" s="7"/>
      <c r="B1022" s="72" t="s">
        <v>601</v>
      </c>
      <c r="C1022" s="14" t="s">
        <v>1153</v>
      </c>
      <c r="D1022" s="259"/>
      <c r="E1022" s="14" t="s">
        <v>1154</v>
      </c>
      <c r="F1022" s="259" t="str">
        <f>IF(wskakunin_KENPEI_RITU="","",wskakunin_KENPEI_RITU)</f>
        <v/>
      </c>
    </row>
    <row r="1023" spans="1:6" ht="15" customHeight="1">
      <c r="A1023" s="143"/>
      <c r="B1023" s="145"/>
    </row>
    <row r="1024" spans="1:6" ht="15" customHeight="1">
      <c r="A1024" s="68" t="s">
        <v>608</v>
      </c>
      <c r="B1024" s="69"/>
      <c r="D1024" s="17"/>
      <c r="F1024" s="17"/>
    </row>
    <row r="1025" spans="1:6" ht="15" customHeight="1">
      <c r="A1025" s="7" t="s">
        <v>1365</v>
      </c>
      <c r="B1025" s="142"/>
      <c r="D1025" s="17"/>
      <c r="F1025" s="17"/>
    </row>
    <row r="1026" spans="1:6" ht="15" customHeight="1">
      <c r="A1026" s="7"/>
      <c r="B1026" s="72" t="s">
        <v>1146</v>
      </c>
      <c r="C1026" s="14" t="s">
        <v>1155</v>
      </c>
      <c r="D1026" s="258"/>
      <c r="E1026" s="14" t="s">
        <v>1156</v>
      </c>
      <c r="F1026" s="258" t="str">
        <f>IF(wskakunin_NOBE_MENSEKI_BUILD_SHINSEI="", "", wskakunin_NOBE_MENSEKI_BUILD_SHINSEI)</f>
        <v/>
      </c>
    </row>
    <row r="1027" spans="1:6" ht="15" customHeight="1">
      <c r="A1027" s="7"/>
      <c r="B1027" s="72" t="s">
        <v>606</v>
      </c>
      <c r="C1027" s="14" t="s">
        <v>1157</v>
      </c>
      <c r="D1027" s="258"/>
      <c r="E1027" s="14" t="s">
        <v>1158</v>
      </c>
      <c r="F1027" s="258" t="str">
        <f>IF(wskakunin_NOBE_MENSEKI_BUILD_IGAI="","",wskakunin_NOBE_MENSEKI_BUILD_IGAI)</f>
        <v/>
      </c>
    </row>
    <row r="1028" spans="1:6" ht="15" customHeight="1">
      <c r="A1028" s="7"/>
      <c r="B1028" s="72" t="s">
        <v>607</v>
      </c>
      <c r="C1028" s="14" t="s">
        <v>1159</v>
      </c>
      <c r="D1028" s="258"/>
      <c r="E1028" s="14" t="s">
        <v>1160</v>
      </c>
      <c r="F1028" s="258" t="str">
        <f>IF(wskakunin_NOBE_MENSEKI_BUILD_TOTAL="","",wskakunin_NOBE_MENSEKI_BUILD_TOTAL)</f>
        <v/>
      </c>
    </row>
    <row r="1029" spans="1:6" ht="15" customHeight="1">
      <c r="A1029" s="7"/>
      <c r="B1029" s="152"/>
      <c r="D1029" s="109"/>
      <c r="F1029" s="109"/>
    </row>
    <row r="1030" spans="1:6" ht="15" customHeight="1">
      <c r="A1030" s="45" t="s">
        <v>1366</v>
      </c>
      <c r="B1030" s="144"/>
      <c r="D1030" s="109"/>
      <c r="F1030" s="109"/>
    </row>
    <row r="1031" spans="1:6" ht="15" customHeight="1">
      <c r="A1031" s="7"/>
      <c r="B1031" s="72" t="s">
        <v>1146</v>
      </c>
      <c r="C1031" s="14" t="s">
        <v>1161</v>
      </c>
      <c r="D1031" s="258"/>
      <c r="E1031" s="14" t="s">
        <v>1162</v>
      </c>
      <c r="F1031" s="258" t="str">
        <f>IF(wskakunin_NOBE_MENSEKI_TIKAI_SHINSEI="","",wskakunin_NOBE_MENSEKI_TIKAI_SHINSEI)</f>
        <v/>
      </c>
    </row>
    <row r="1032" spans="1:6" ht="15" customHeight="1">
      <c r="A1032" s="7"/>
      <c r="B1032" s="72" t="s">
        <v>606</v>
      </c>
      <c r="C1032" s="14" t="s">
        <v>1163</v>
      </c>
      <c r="D1032" s="258"/>
      <c r="E1032" s="14" t="s">
        <v>1164</v>
      </c>
      <c r="F1032" s="258" t="str">
        <f>IF(wskakunin_NOBE_MENSEKI_TIKAI_IGAI="","",wskakunin_NOBE_MENSEKI_TIKAI_IGAI)</f>
        <v/>
      </c>
    </row>
    <row r="1033" spans="1:6" ht="15" customHeight="1">
      <c r="A1033" s="7"/>
      <c r="B1033" s="72" t="s">
        <v>607</v>
      </c>
      <c r="C1033" s="14" t="s">
        <v>1165</v>
      </c>
      <c r="D1033" s="258"/>
      <c r="E1033" s="14" t="s">
        <v>1166</v>
      </c>
      <c r="F1033" s="258" t="str">
        <f>IF(wskakunin_NOBE_MENSEKI_TIKAI_TOTAL="","",wskakunin_NOBE_MENSEKI_TIKAI_TOTAL)</f>
        <v/>
      </c>
    </row>
    <row r="1034" spans="1:6" ht="15" customHeight="1">
      <c r="A1034" s="71"/>
      <c r="B1034" s="72"/>
      <c r="D1034" s="109"/>
      <c r="F1034" s="109"/>
    </row>
    <row r="1035" spans="1:6" ht="15" customHeight="1">
      <c r="A1035" s="45" t="s">
        <v>1367</v>
      </c>
      <c r="B1035" s="144"/>
      <c r="D1035" s="109"/>
      <c r="F1035" s="109"/>
    </row>
    <row r="1036" spans="1:6" ht="15" customHeight="1">
      <c r="A1036" s="7"/>
      <c r="B1036" s="72" t="s">
        <v>1146</v>
      </c>
      <c r="C1036" s="14" t="s">
        <v>1167</v>
      </c>
      <c r="D1036" s="258"/>
      <c r="E1036" s="14" t="s">
        <v>1168</v>
      </c>
      <c r="F1036" s="258" t="str">
        <f>IF(wskakunin_NOBE_MENSEKI_SYOUKOURO_SHINSEI="","",wskakunin_NOBE_MENSEKI_SYOUKOURO_SHINSEI)</f>
        <v/>
      </c>
    </row>
    <row r="1037" spans="1:6" ht="15" customHeight="1">
      <c r="A1037" s="7"/>
      <c r="B1037" s="72" t="s">
        <v>606</v>
      </c>
      <c r="C1037" s="14" t="s">
        <v>1169</v>
      </c>
      <c r="D1037" s="258"/>
      <c r="E1037" s="14" t="s">
        <v>1170</v>
      </c>
      <c r="F1037" s="258" t="str">
        <f>IF(wskakunin_NOBE_MENSEKI_SYOUKOURO_IGAI="","",wskakunin_NOBE_MENSEKI_SYOUKOURO_IGAI)</f>
        <v/>
      </c>
    </row>
    <row r="1038" spans="1:6" ht="15" customHeight="1">
      <c r="A1038" s="7"/>
      <c r="B1038" s="72" t="s">
        <v>607</v>
      </c>
      <c r="C1038" s="14" t="s">
        <v>1171</v>
      </c>
      <c r="D1038" s="258"/>
      <c r="E1038" s="14" t="s">
        <v>1172</v>
      </c>
      <c r="F1038" s="258" t="str">
        <f>IF(wskakunin_NOBE_MENSEKI_SYOUKOURO_TOTAL="","",wskakunin_NOBE_MENSEKI_SYOUKOURO_TOTAL)</f>
        <v/>
      </c>
    </row>
    <row r="1039" spans="1:6" ht="15" customHeight="1">
      <c r="A1039" s="71"/>
      <c r="B1039" s="72"/>
      <c r="D1039" s="109"/>
      <c r="F1039" s="109"/>
    </row>
    <row r="1040" spans="1:6" ht="15" customHeight="1">
      <c r="A1040" s="45" t="s">
        <v>1368</v>
      </c>
      <c r="B1040" s="144"/>
      <c r="D1040" s="109"/>
      <c r="F1040" s="109"/>
    </row>
    <row r="1041" spans="1:6" ht="15" customHeight="1">
      <c r="A1041" s="7"/>
      <c r="B1041" s="72" t="s">
        <v>1146</v>
      </c>
      <c r="C1041" s="14" t="s">
        <v>1173</v>
      </c>
      <c r="D1041" s="258"/>
      <c r="E1041" s="14" t="s">
        <v>1174</v>
      </c>
      <c r="F1041" s="258" t="str">
        <f>IF(wskakunin_NOBE_MENSEKI_KYOYOU_SHINSEI="","",wskakunin_NOBE_MENSEKI_KYOYOU_SHINSEI)</f>
        <v/>
      </c>
    </row>
    <row r="1042" spans="1:6" ht="15" customHeight="1">
      <c r="A1042" s="7"/>
      <c r="B1042" s="72" t="s">
        <v>606</v>
      </c>
      <c r="C1042" s="14" t="s">
        <v>1175</v>
      </c>
      <c r="D1042" s="258"/>
      <c r="E1042" s="14" t="s">
        <v>1176</v>
      </c>
      <c r="F1042" s="258" t="str">
        <f>IF(wskakunin_NOBE_MENSEKI_KYOYOU_IGAI="","",wskakunin_NOBE_MENSEKI_KYOYOU_IGAI)</f>
        <v/>
      </c>
    </row>
    <row r="1043" spans="1:6" ht="15" customHeight="1">
      <c r="A1043" s="7"/>
      <c r="B1043" s="72" t="s">
        <v>607</v>
      </c>
      <c r="C1043" s="14" t="s">
        <v>1177</v>
      </c>
      <c r="D1043" s="258"/>
      <c r="E1043" s="14" t="s">
        <v>1178</v>
      </c>
      <c r="F1043" s="258" t="str">
        <f>IF(wskakunin_NOBE_MENSEKI_KYOYOU_TOTAL="","",wskakunin_NOBE_MENSEKI_KYOYOU_TOTAL)</f>
        <v/>
      </c>
    </row>
    <row r="1044" spans="1:6" ht="15" customHeight="1">
      <c r="A1044" s="71"/>
      <c r="B1044" s="72"/>
      <c r="D1044" s="109"/>
      <c r="F1044" s="109"/>
    </row>
    <row r="1045" spans="1:6" ht="15" customHeight="1">
      <c r="A1045" s="45" t="s">
        <v>1369</v>
      </c>
      <c r="B1045" s="144"/>
      <c r="D1045" s="109"/>
      <c r="F1045" s="109"/>
    </row>
    <row r="1046" spans="1:6" ht="15" customHeight="1">
      <c r="A1046" s="7"/>
      <c r="B1046" s="72" t="s">
        <v>1146</v>
      </c>
      <c r="C1046" s="14" t="s">
        <v>1179</v>
      </c>
      <c r="D1046" s="258"/>
      <c r="E1046" s="14" t="s">
        <v>1180</v>
      </c>
      <c r="F1046" s="258" t="str">
        <f>IF(wskakunin_NOBE_MENSEKI_SYAKO_SHINSEI="","",wskakunin_NOBE_MENSEKI_SYAKO_SHINSEI)</f>
        <v/>
      </c>
    </row>
    <row r="1047" spans="1:6" ht="15" customHeight="1">
      <c r="A1047" s="7"/>
      <c r="B1047" s="72" t="s">
        <v>606</v>
      </c>
      <c r="C1047" s="14" t="s">
        <v>1181</v>
      </c>
      <c r="D1047" s="258"/>
      <c r="E1047" s="14" t="s">
        <v>1182</v>
      </c>
      <c r="F1047" s="258" t="str">
        <f>IF(wskakunin_NOBE_MENSEKI_SYAKO_IGAI="","",wskakunin_NOBE_MENSEKI_SYAKO_IGAI)</f>
        <v/>
      </c>
    </row>
    <row r="1048" spans="1:6" ht="15" customHeight="1">
      <c r="A1048" s="7"/>
      <c r="B1048" s="72" t="s">
        <v>607</v>
      </c>
      <c r="C1048" s="14" t="s">
        <v>1183</v>
      </c>
      <c r="D1048" s="258"/>
      <c r="E1048" s="14" t="s">
        <v>1184</v>
      </c>
      <c r="F1048" s="258" t="str">
        <f>IF(wskakunin_NOBE_MENSEKI_SYAKO_TOTAL="","",wskakunin_NOBE_MENSEKI_SYAKO_TOTAL)</f>
        <v/>
      </c>
    </row>
    <row r="1049" spans="1:6" ht="15" customHeight="1">
      <c r="A1049" s="71"/>
      <c r="B1049" s="72"/>
      <c r="D1049" s="109"/>
      <c r="F1049" s="109"/>
    </row>
    <row r="1050" spans="1:6" ht="15" customHeight="1">
      <c r="A1050" s="45" t="s">
        <v>1370</v>
      </c>
      <c r="B1050" s="144"/>
      <c r="D1050" s="109"/>
      <c r="F1050" s="109"/>
    </row>
    <row r="1051" spans="1:6" ht="15" customHeight="1">
      <c r="A1051" s="7"/>
      <c r="B1051" s="72" t="s">
        <v>1146</v>
      </c>
      <c r="C1051" s="14" t="s">
        <v>1185</v>
      </c>
      <c r="D1051" s="258"/>
      <c r="E1051" s="14" t="s">
        <v>1186</v>
      </c>
      <c r="F1051" s="258" t="str">
        <f>IF(wskakunin_NOBE_MENSEKI_BITIKUSOUKO_SHINSEI="","",wskakunin_NOBE_MENSEKI_BITIKUSOUKO_SHINSEI)</f>
        <v/>
      </c>
    </row>
    <row r="1052" spans="1:6" ht="15" customHeight="1">
      <c r="A1052" s="7"/>
      <c r="B1052" s="72" t="s">
        <v>606</v>
      </c>
      <c r="C1052" s="14" t="s">
        <v>1187</v>
      </c>
      <c r="D1052" s="258"/>
      <c r="E1052" s="14" t="s">
        <v>1188</v>
      </c>
      <c r="F1052" s="258" t="str">
        <f>IF(wskakunin_NOBE_MENSEKI_BITIKUSOUKO_IGAI="","",wskakunin_NOBE_MENSEKI_BITIKUSOUKO_IGAI)</f>
        <v/>
      </c>
    </row>
    <row r="1053" spans="1:6" ht="15" customHeight="1">
      <c r="A1053" s="7"/>
      <c r="B1053" s="72" t="s">
        <v>607</v>
      </c>
      <c r="C1053" s="14" t="s">
        <v>1189</v>
      </c>
      <c r="D1053" s="258"/>
      <c r="E1053" s="14" t="s">
        <v>1190</v>
      </c>
      <c r="F1053" s="258" t="str">
        <f>IF(wskakunin_NOBE_MENSEKI_BITIKUSOUKO_TOTAL="","",wskakunin_NOBE_MENSEKI_BITIKUSOUKO_TOTAL)</f>
        <v/>
      </c>
    </row>
    <row r="1054" spans="1:6" ht="15" customHeight="1">
      <c r="A1054" s="71"/>
      <c r="B1054" s="72"/>
      <c r="D1054" s="109"/>
      <c r="F1054" s="109"/>
    </row>
    <row r="1055" spans="1:6" ht="15" customHeight="1">
      <c r="A1055" s="45" t="s">
        <v>1371</v>
      </c>
      <c r="B1055" s="144"/>
      <c r="D1055" s="109"/>
      <c r="F1055" s="109"/>
    </row>
    <row r="1056" spans="1:6" ht="15" customHeight="1">
      <c r="A1056" s="7"/>
      <c r="B1056" s="72" t="s">
        <v>1146</v>
      </c>
      <c r="C1056" s="14" t="s">
        <v>1191</v>
      </c>
      <c r="D1056" s="258"/>
      <c r="E1056" s="14" t="s">
        <v>1192</v>
      </c>
      <c r="F1056" s="258" t="str">
        <f>IF(wskakunin_NOBE_MENSEKI_TIKUDENTI_SHINSEI="","",wskakunin_NOBE_MENSEKI_TIKUDENTI_SHINSEI)</f>
        <v/>
      </c>
    </row>
    <row r="1057" spans="1:7" ht="15" customHeight="1">
      <c r="A1057" s="7"/>
      <c r="B1057" s="72" t="s">
        <v>606</v>
      </c>
      <c r="C1057" s="14" t="s">
        <v>1193</v>
      </c>
      <c r="D1057" s="258"/>
      <c r="E1057" s="14" t="s">
        <v>1194</v>
      </c>
      <c r="F1057" s="258" t="str">
        <f>IF(wskakunin_NOBE_MENSEKI_TIKUDENTI_IGAI="","",wskakunin_NOBE_MENSEKI_TIKUDENTI_IGAI)</f>
        <v/>
      </c>
    </row>
    <row r="1058" spans="1:7" ht="15" customHeight="1">
      <c r="A1058" s="7"/>
      <c r="B1058" s="72" t="s">
        <v>607</v>
      </c>
      <c r="C1058" s="14" t="s">
        <v>1195</v>
      </c>
      <c r="D1058" s="258"/>
      <c r="E1058" s="14" t="s">
        <v>1196</v>
      </c>
      <c r="F1058" s="258" t="str">
        <f>IF(wskakunin_NOBE_MENSEKI_TIKUDENTI_TOTAL="","",wskakunin_NOBE_MENSEKI_TIKUDENTI_TOTAL)</f>
        <v/>
      </c>
    </row>
    <row r="1059" spans="1:7" ht="15" customHeight="1">
      <c r="A1059" s="71"/>
      <c r="B1059" s="72"/>
      <c r="D1059" s="109"/>
      <c r="F1059" s="109"/>
    </row>
    <row r="1060" spans="1:7" ht="15" customHeight="1">
      <c r="A1060" s="45" t="s">
        <v>1372</v>
      </c>
      <c r="B1060" s="144"/>
      <c r="D1060" s="109"/>
      <c r="F1060" s="109"/>
    </row>
    <row r="1061" spans="1:7" ht="15" customHeight="1">
      <c r="A1061" s="7"/>
      <c r="B1061" s="72" t="s">
        <v>1146</v>
      </c>
      <c r="C1061" s="14" t="s">
        <v>1197</v>
      </c>
      <c r="D1061" s="258"/>
      <c r="E1061" s="14" t="s">
        <v>1198</v>
      </c>
      <c r="F1061" s="258" t="str">
        <f>IF(wskakunin_NOBE_MENSEKI_JIKAHATUDEN_SHINSEI="","",wskakunin_NOBE_MENSEKI_JIKAHATUDEN_SHINSEI)</f>
        <v/>
      </c>
    </row>
    <row r="1062" spans="1:7" ht="15" customHeight="1">
      <c r="A1062" s="7"/>
      <c r="B1062" s="72" t="s">
        <v>606</v>
      </c>
      <c r="C1062" s="14" t="s">
        <v>1199</v>
      </c>
      <c r="D1062" s="258"/>
      <c r="E1062" s="14" t="s">
        <v>1200</v>
      </c>
      <c r="F1062" s="258" t="str">
        <f>IF(wskakunin_NOBE_MENSEKI_JIKAHATUDEN_IGAI="","",wskakunin_NOBE_MENSEKI_JIKAHATUDEN_IGAI)</f>
        <v/>
      </c>
      <c r="G1062" s="14" t="s">
        <v>616</v>
      </c>
    </row>
    <row r="1063" spans="1:7" ht="15" customHeight="1">
      <c r="A1063" s="7"/>
      <c r="B1063" s="72" t="s">
        <v>607</v>
      </c>
      <c r="C1063" s="14" t="s">
        <v>1201</v>
      </c>
      <c r="D1063" s="258"/>
      <c r="E1063" s="14" t="s">
        <v>1202</v>
      </c>
      <c r="F1063" s="258" t="str">
        <f>IF(wskakunin_NOBE_MENSEKI_JIKAHATUDEN_TOTAL="","",wskakunin_NOBE_MENSEKI_JIKAHATUDEN_TOTAL)</f>
        <v/>
      </c>
      <c r="G1063" s="14" t="s">
        <v>617</v>
      </c>
    </row>
    <row r="1064" spans="1:7" ht="15" customHeight="1">
      <c r="A1064" s="71"/>
      <c r="B1064" s="72"/>
      <c r="D1064" s="109"/>
      <c r="F1064" s="109"/>
    </row>
    <row r="1065" spans="1:7" ht="15" customHeight="1">
      <c r="A1065" s="45" t="s">
        <v>1373</v>
      </c>
      <c r="B1065" s="144"/>
      <c r="D1065" s="109"/>
      <c r="F1065" s="109"/>
    </row>
    <row r="1066" spans="1:7" ht="15" customHeight="1">
      <c r="A1066" s="7"/>
      <c r="B1066" s="72" t="s">
        <v>1146</v>
      </c>
      <c r="C1066" s="14" t="s">
        <v>1203</v>
      </c>
      <c r="D1066" s="258"/>
      <c r="E1066" s="14" t="s">
        <v>1204</v>
      </c>
      <c r="F1066" s="258" t="str">
        <f>IF(wskakunin_NOBE_MENSEKI_CHOSUISOU_SHINSEI="","",wskakunin_NOBE_MENSEKI_CHOSUISOU_SHINSEI)</f>
        <v/>
      </c>
      <c r="G1066" s="14" t="s">
        <v>616</v>
      </c>
    </row>
    <row r="1067" spans="1:7" ht="15" customHeight="1">
      <c r="A1067" s="7"/>
      <c r="B1067" s="72" t="s">
        <v>606</v>
      </c>
      <c r="C1067" s="14" t="s">
        <v>1205</v>
      </c>
      <c r="D1067" s="258"/>
      <c r="E1067" s="14" t="s">
        <v>1206</v>
      </c>
      <c r="F1067" s="258" t="str">
        <f>IF(wskakunin_NOBE_MENSEKI_CHOSUISOU_IGAI="","",wskakunin_NOBE_MENSEKI_CHOSUISOU_IGAI)</f>
        <v/>
      </c>
      <c r="G1067" s="14" t="s">
        <v>616</v>
      </c>
    </row>
    <row r="1068" spans="1:7" ht="15" customHeight="1">
      <c r="A1068" s="7"/>
      <c r="B1068" s="72" t="s">
        <v>607</v>
      </c>
      <c r="C1068" s="14" t="s">
        <v>1207</v>
      </c>
      <c r="D1068" s="258"/>
      <c r="E1068" s="14" t="s">
        <v>1208</v>
      </c>
      <c r="F1068" s="258" t="str">
        <f>IF(wskakunin_NOBE_MENSEKI_CHOSUISOU_TOTAL="","",wskakunin_NOBE_MENSEKI_CHOSUISOU_TOTAL)</f>
        <v/>
      </c>
      <c r="G1068" s="14" t="s">
        <v>616</v>
      </c>
    </row>
    <row r="1069" spans="1:7" ht="15" customHeight="1">
      <c r="A1069" s="71"/>
      <c r="B1069" s="72"/>
      <c r="D1069" s="109"/>
      <c r="F1069" s="109"/>
    </row>
    <row r="1070" spans="1:7" ht="15" customHeight="1">
      <c r="A1070" s="499" t="s">
        <v>2497</v>
      </c>
      <c r="B1070" s="500"/>
      <c r="D1070" s="109"/>
      <c r="F1070" s="109"/>
    </row>
    <row r="1071" spans="1:7" ht="15" customHeight="1">
      <c r="A1071" s="7"/>
      <c r="B1071" s="72" t="s">
        <v>1146</v>
      </c>
      <c r="C1071" s="14" t="s">
        <v>2498</v>
      </c>
      <c r="D1071" s="258"/>
      <c r="E1071" s="14" t="s">
        <v>2501</v>
      </c>
      <c r="F1071" s="258" t="str">
        <f>IF(wskakunin_NOBE_MENSEKI_TAKUHAI_SHINSEI="","",wskakunin_NOBE_MENSEKI_TAKUHAI_SHINSEI)</f>
        <v/>
      </c>
    </row>
    <row r="1072" spans="1:7" ht="15" customHeight="1">
      <c r="A1072" s="7"/>
      <c r="B1072" s="72" t="s">
        <v>606</v>
      </c>
      <c r="C1072" s="14" t="s">
        <v>2499</v>
      </c>
      <c r="D1072" s="258"/>
      <c r="E1072" s="14" t="s">
        <v>2502</v>
      </c>
      <c r="F1072" s="258" t="str">
        <f>IF(wskakunin_NOBE_MENSEKI_TAKUHAI_IGAI="","",wskakunin_NOBE_MENSEKI_TAKUHAI_IGAI)</f>
        <v/>
      </c>
    </row>
    <row r="1073" spans="1:6" ht="15" customHeight="1">
      <c r="A1073" s="7"/>
      <c r="B1073" s="72" t="s">
        <v>607</v>
      </c>
      <c r="C1073" s="14" t="s">
        <v>2500</v>
      </c>
      <c r="D1073" s="258"/>
      <c r="E1073" s="14" t="s">
        <v>2503</v>
      </c>
      <c r="F1073" s="258" t="str">
        <f>IF(wskakunin_NOBE_MENSEKI_TAKUHAI_TOTAL="","",wskakunin_NOBE_MENSEKI_TAKUHAI_TOTAL)</f>
        <v/>
      </c>
    </row>
    <row r="1074" spans="1:6" ht="15" customHeight="1">
      <c r="A1074" s="7"/>
      <c r="B1074" s="72"/>
      <c r="D1074" s="109"/>
      <c r="F1074" s="109"/>
    </row>
    <row r="1075" spans="1:6" ht="15" customHeight="1">
      <c r="A1075" s="45" t="s">
        <v>1374</v>
      </c>
      <c r="B1075" s="144"/>
      <c r="D1075" s="109"/>
      <c r="F1075" s="109"/>
    </row>
    <row r="1076" spans="1:6" ht="15" customHeight="1">
      <c r="A1076" s="7"/>
      <c r="B1076" s="72" t="s">
        <v>1146</v>
      </c>
      <c r="C1076" s="14" t="s">
        <v>1209</v>
      </c>
      <c r="D1076" s="259"/>
      <c r="E1076" s="14" t="s">
        <v>1210</v>
      </c>
      <c r="F1076" s="259" t="str">
        <f>IF(wskakunin_NOBE_MENSEKI_JYUTAKU_SHINSEI="", "", wskakunin_NOBE_MENSEKI_JYUTAKU_SHINSEI)</f>
        <v/>
      </c>
    </row>
    <row r="1077" spans="1:6" ht="15" customHeight="1">
      <c r="A1077" s="7"/>
      <c r="B1077" s="72" t="s">
        <v>606</v>
      </c>
      <c r="C1077" s="14" t="s">
        <v>1211</v>
      </c>
      <c r="D1077" s="258"/>
      <c r="E1077" s="14" t="s">
        <v>1212</v>
      </c>
      <c r="F1077" s="258" t="str">
        <f>IF(wskakunin_NOBE_MENSEKI_JYUTAKU_IGAI="","",wskakunin_NOBE_MENSEKI_JYUTAKU_IGAI)</f>
        <v/>
      </c>
    </row>
    <row r="1078" spans="1:6" ht="15" customHeight="1">
      <c r="A1078" s="7"/>
      <c r="B1078" s="72" t="s">
        <v>607</v>
      </c>
      <c r="C1078" s="14" t="s">
        <v>1213</v>
      </c>
      <c r="D1078" s="258"/>
      <c r="E1078" s="14" t="s">
        <v>1214</v>
      </c>
      <c r="F1078" s="258" t="str">
        <f>IF(wskakunin_NOBE_MENSEKI_JYUTAKU_TOTAL="","",wskakunin_NOBE_MENSEKI_JYUTAKU_TOTAL)</f>
        <v/>
      </c>
    </row>
    <row r="1079" spans="1:6" ht="15" customHeight="1">
      <c r="A1079" s="71"/>
      <c r="B1079" s="72"/>
      <c r="D1079" s="109"/>
      <c r="F1079" s="109"/>
    </row>
    <row r="1080" spans="1:6" ht="15" customHeight="1">
      <c r="A1080" s="45" t="s">
        <v>1375</v>
      </c>
      <c r="B1080" s="144"/>
      <c r="D1080" s="109"/>
      <c r="F1080" s="109"/>
    </row>
    <row r="1081" spans="1:6" ht="15" customHeight="1">
      <c r="A1081" s="7"/>
      <c r="B1081" s="72" t="s">
        <v>1146</v>
      </c>
      <c r="C1081" s="14" t="s">
        <v>1215</v>
      </c>
      <c r="D1081" s="258"/>
      <c r="E1081" s="14" t="s">
        <v>1216</v>
      </c>
      <c r="F1081" s="258" t="str">
        <f>IF(wskakunin_NOBE_MENSEKI_ROUJIN_SHINSEI="","",wskakunin_NOBE_MENSEKI_ROUJIN_SHINSEI)</f>
        <v/>
      </c>
    </row>
    <row r="1082" spans="1:6" ht="15" customHeight="1">
      <c r="A1082" s="7"/>
      <c r="B1082" s="72" t="s">
        <v>606</v>
      </c>
      <c r="C1082" s="14" t="s">
        <v>1217</v>
      </c>
      <c r="D1082" s="258"/>
      <c r="E1082" s="14" t="s">
        <v>1218</v>
      </c>
      <c r="F1082" s="258" t="str">
        <f>IF(wskakunin_NOBE_MENSEKI_ROUJIN_IGAI="","",wskakunin_NOBE_MENSEKI_ROUJIN_IGAI)</f>
        <v/>
      </c>
    </row>
    <row r="1083" spans="1:6" ht="15" customHeight="1">
      <c r="A1083" s="7"/>
      <c r="B1083" s="72" t="s">
        <v>607</v>
      </c>
      <c r="C1083" s="14" t="s">
        <v>1219</v>
      </c>
      <c r="D1083" s="258"/>
      <c r="E1083" s="14" t="s">
        <v>1220</v>
      </c>
      <c r="F1083" s="258" t="str">
        <f>IF(wskakunin_NOBE_MENSEKI_ROUJIN_TOTAL="","",wskakunin_NOBE_MENSEKI_ROUJIN_TOTAL)</f>
        <v/>
      </c>
    </row>
    <row r="1084" spans="1:6" ht="15" customHeight="1">
      <c r="A1084" s="71"/>
      <c r="B1084" s="72"/>
      <c r="D1084" s="109"/>
      <c r="F1084" s="109"/>
    </row>
    <row r="1085" spans="1:6" ht="15" customHeight="1">
      <c r="A1085" s="45" t="s">
        <v>1376</v>
      </c>
      <c r="B1085" s="144"/>
      <c r="D1085" s="109"/>
      <c r="F1085" s="109"/>
    </row>
    <row r="1086" spans="1:6" ht="15" customHeight="1">
      <c r="A1086" s="7"/>
      <c r="B1086" s="72" t="s">
        <v>607</v>
      </c>
      <c r="C1086" s="14" t="s">
        <v>1221</v>
      </c>
      <c r="D1086" s="258"/>
      <c r="E1086" s="14" t="s">
        <v>1222</v>
      </c>
      <c r="F1086" s="258" t="str">
        <f>IF(wskakunin_NOBE_MENSEKI="","",wskakunin_NOBE_MENSEKI)</f>
        <v/>
      </c>
    </row>
    <row r="1087" spans="1:6" ht="15" customHeight="1">
      <c r="A1087" s="71"/>
      <c r="B1087" s="72"/>
      <c r="D1087" s="109"/>
      <c r="F1087" s="109"/>
    </row>
    <row r="1088" spans="1:6" ht="15" customHeight="1">
      <c r="A1088" s="45" t="s">
        <v>200</v>
      </c>
      <c r="B1088" s="144"/>
      <c r="D1088" s="109"/>
      <c r="F1088" s="109"/>
    </row>
    <row r="1089" spans="1:6" ht="15" customHeight="1">
      <c r="A1089" s="7"/>
      <c r="B1089" s="72" t="s">
        <v>607</v>
      </c>
      <c r="C1089" s="14" t="s">
        <v>1223</v>
      </c>
      <c r="D1089" s="258"/>
      <c r="E1089" s="14" t="s">
        <v>1224</v>
      </c>
      <c r="F1089" s="258" t="str">
        <f>IF(wskakunin_YOUSEKI_RITU="","",wskakunin_YOUSEKI_RITU)</f>
        <v/>
      </c>
    </row>
    <row r="1090" spans="1:6" ht="15" customHeight="1">
      <c r="A1090" s="71"/>
      <c r="B1090" s="72"/>
      <c r="D1090" s="109"/>
      <c r="F1090" s="109"/>
    </row>
    <row r="1091" spans="1:6" ht="15" customHeight="1">
      <c r="A1091" s="7" t="s">
        <v>609</v>
      </c>
      <c r="B1091" s="142"/>
      <c r="D1091" s="17"/>
      <c r="F1091" s="17"/>
    </row>
    <row r="1092" spans="1:6" ht="15" customHeight="1">
      <c r="A1092" s="7"/>
      <c r="B1092" s="72" t="s">
        <v>1225</v>
      </c>
      <c r="C1092" s="14" t="s">
        <v>1226</v>
      </c>
      <c r="D1092" s="154"/>
      <c r="E1092" s="14" t="s">
        <v>1227</v>
      </c>
      <c r="F1092" s="154" t="str">
        <f>IF(wskakunin_BUILD_SHINSEI_COUNT="","",wskakunin_BUILD_SHINSEI_COUNT)</f>
        <v/>
      </c>
    </row>
    <row r="1093" spans="1:6" ht="15" customHeight="1">
      <c r="A1093" s="7"/>
      <c r="B1093" s="72" t="s">
        <v>1228</v>
      </c>
      <c r="C1093" s="14" t="s">
        <v>1229</v>
      </c>
      <c r="D1093" s="154"/>
      <c r="E1093" s="14" t="s">
        <v>1230</v>
      </c>
      <c r="F1093" s="154" t="str">
        <f>IF(wskakunin_BUILD_SONOTA_COUNT="","",wskakunin_BUILD_SONOTA_COUNT)</f>
        <v/>
      </c>
    </row>
    <row r="1094" spans="1:6" ht="15" customHeight="1">
      <c r="A1094" s="8"/>
      <c r="B1094" s="73"/>
      <c r="D1094" s="17"/>
      <c r="F1094" s="17"/>
    </row>
    <row r="1095" spans="1:6" ht="15" customHeight="1">
      <c r="A1095" s="68" t="s">
        <v>610</v>
      </c>
      <c r="B1095" s="69"/>
      <c r="D1095" s="17"/>
      <c r="F1095" s="17"/>
    </row>
    <row r="1096" spans="1:6" ht="15" customHeight="1">
      <c r="A1096" s="45" t="s">
        <v>710</v>
      </c>
      <c r="B1096" s="70"/>
      <c r="D1096" s="17"/>
      <c r="F1096" s="17"/>
    </row>
    <row r="1097" spans="1:6" ht="15" customHeight="1">
      <c r="A1097" s="7"/>
      <c r="B1097" s="72" t="s">
        <v>1231</v>
      </c>
      <c r="C1097" s="14" t="s">
        <v>1232</v>
      </c>
      <c r="D1097" s="257"/>
      <c r="E1097" s="14" t="s">
        <v>1233</v>
      </c>
      <c r="F1097" s="257" t="str">
        <f>IF(wskakunin_TAKASA_MAX_SHINSEI="","",wskakunin_TAKASA_MAX_SHINSEI)</f>
        <v/>
      </c>
    </row>
    <row r="1098" spans="1:6" ht="15" customHeight="1">
      <c r="A1098" s="71"/>
      <c r="B1098" s="72" t="s">
        <v>611</v>
      </c>
      <c r="C1098" s="14" t="s">
        <v>1234</v>
      </c>
      <c r="D1098" s="257"/>
      <c r="E1098" s="14" t="s">
        <v>1235</v>
      </c>
      <c r="F1098" s="257" t="str">
        <f>IF(wskakunin_TAKASA_MAX_SONOTA="","",wskakunin_TAKASA_MAX_SONOTA)</f>
        <v/>
      </c>
    </row>
    <row r="1099" spans="1:6" ht="15" customHeight="1">
      <c r="A1099" s="45" t="s">
        <v>711</v>
      </c>
      <c r="B1099" s="70"/>
      <c r="D1099" s="17"/>
      <c r="F1099" s="17"/>
    </row>
    <row r="1100" spans="1:6" ht="15" customHeight="1">
      <c r="A1100" s="7"/>
      <c r="B1100" s="72" t="s">
        <v>1231</v>
      </c>
      <c r="C1100" s="14" t="s">
        <v>1236</v>
      </c>
      <c r="D1100" s="240"/>
      <c r="E1100" s="14" t="s">
        <v>1237</v>
      </c>
      <c r="F1100" s="154" t="str">
        <f>IF(wskakunin_KAISU_TIJYOU_SHINSEI="", "", wskakunin_KAISU_TIJYOU_SHINSEI)</f>
        <v/>
      </c>
    </row>
    <row r="1101" spans="1:6" ht="15" customHeight="1">
      <c r="A1101" s="71"/>
      <c r="B1101" s="72" t="s">
        <v>611</v>
      </c>
      <c r="C1101" s="14" t="s">
        <v>1238</v>
      </c>
      <c r="D1101" s="154"/>
      <c r="E1101" s="14" t="s">
        <v>1239</v>
      </c>
      <c r="F1101" s="154" t="str">
        <f>IF(wskakunin_KAISU_TIJYOU_SONOTA="","",wskakunin_KAISU_TIJYOU_SONOTA)</f>
        <v/>
      </c>
    </row>
    <row r="1102" spans="1:6" ht="15" customHeight="1">
      <c r="A1102" s="45" t="s">
        <v>712</v>
      </c>
      <c r="B1102" s="70"/>
      <c r="D1102" s="17"/>
      <c r="F1102" s="17"/>
    </row>
    <row r="1103" spans="1:6" ht="15" customHeight="1">
      <c r="A1103" s="7"/>
      <c r="B1103" s="72" t="s">
        <v>1231</v>
      </c>
      <c r="C1103" s="14" t="s">
        <v>1240</v>
      </c>
      <c r="D1103" s="240" t="s">
        <v>3277</v>
      </c>
      <c r="E1103" s="14" t="s">
        <v>1241</v>
      </c>
      <c r="F1103" s="154" t="str">
        <f>IF(wskakunin_KAISU_TIKA_SHINSEI__zero="", "", wskakunin_KAISU_TIKA_SHINSEI__zero)</f>
        <v>0</v>
      </c>
    </row>
    <row r="1104" spans="1:6" ht="15" customHeight="1">
      <c r="A1104" s="71"/>
      <c r="B1104" s="72" t="s">
        <v>611</v>
      </c>
      <c r="C1104" s="14" t="s">
        <v>1242</v>
      </c>
      <c r="D1104" s="154"/>
      <c r="E1104" s="14" t="s">
        <v>1243</v>
      </c>
      <c r="F1104" s="154" t="str">
        <f>IF(wskakunin_KAISU_TIKA_SONOTA="","",wskakunin_KAISU_TIKA_SONOTA)</f>
        <v/>
      </c>
    </row>
    <row r="1105" spans="1:6" ht="15" customHeight="1">
      <c r="A1105" s="45" t="s">
        <v>136</v>
      </c>
      <c r="B1105" s="70"/>
      <c r="D1105" s="17"/>
      <c r="F1105" s="17"/>
    </row>
    <row r="1106" spans="1:6" ht="15" customHeight="1">
      <c r="A1106" s="7"/>
      <c r="B1106" s="72" t="s">
        <v>136</v>
      </c>
      <c r="C1106" s="14" t="s">
        <v>1244</v>
      </c>
      <c r="D1106" s="154"/>
      <c r="E1106" s="14" t="s">
        <v>1245</v>
      </c>
      <c r="F1106" s="154" t="str">
        <f>IF(wskakunin_KOUZOU1="","",wskakunin_KOUZOU1)</f>
        <v/>
      </c>
    </row>
    <row r="1107" spans="1:6" ht="15" customHeight="1">
      <c r="A1107" s="7"/>
      <c r="B1107" s="72" t="s">
        <v>612</v>
      </c>
      <c r="C1107" s="14" t="s">
        <v>1246</v>
      </c>
      <c r="D1107" s="154"/>
      <c r="E1107" s="14" t="s">
        <v>1247</v>
      </c>
      <c r="F1107" s="154" t="str">
        <f>IF(wskakunin_KOUZOU2="","",wskakunin_KOUZOU2)</f>
        <v/>
      </c>
    </row>
    <row r="1108" spans="1:6" ht="15" customHeight="1">
      <c r="A1108" s="7"/>
      <c r="B1108" s="72"/>
      <c r="E1108" s="14" t="s">
        <v>2495</v>
      </c>
      <c r="F1108" s="14" t="str">
        <f>IF(OR(LEFT(wskakunin_KOUZOU1,2)="木造",LEFT(wskakunin_KOUZOU2,2)="木造"),"○","")</f>
        <v/>
      </c>
    </row>
    <row r="1109" spans="1:6" ht="15" customHeight="1">
      <c r="A1109" s="87"/>
      <c r="B1109" s="72"/>
      <c r="D1109" s="17"/>
      <c r="E1109" s="14" t="s">
        <v>2496</v>
      </c>
      <c r="F1109" s="17"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10" spans="1:6" ht="15" customHeight="1">
      <c r="A1110" s="7"/>
      <c r="B1110" s="142"/>
      <c r="D1110" s="17"/>
      <c r="E1110" s="14" t="s">
        <v>2661</v>
      </c>
      <c r="F1110" s="154" t="str">
        <f>IF(cst_wskakunin_KOUZOU1="","",IF(AND(cst_wskakunin_KOUZOU1&lt;&gt;"",cst_wskakunin_KOUZOU2&lt;&gt;""),cst_wskakunin_KOUZOU1&amp;" 一部 "&amp;cst_wskakunin_KOUZOU2,cst_wskakunin_KOUZOU1))</f>
        <v/>
      </c>
    </row>
    <row r="1111" spans="1:6" ht="15" customHeight="1">
      <c r="A1111" s="7" t="s">
        <v>613</v>
      </c>
      <c r="B1111" s="29"/>
    </row>
    <row r="1112" spans="1:6" ht="15" customHeight="1">
      <c r="A1112" s="7"/>
      <c r="B1112" s="72" t="s">
        <v>714</v>
      </c>
      <c r="C1112" s="14" t="s">
        <v>1248</v>
      </c>
      <c r="D1112" s="154"/>
      <c r="E1112" s="14" t="s">
        <v>1249</v>
      </c>
      <c r="F1112" s="154" t="str">
        <f>IF(wskakunin_TOKUREI_TAKASA=1,"有","無")</f>
        <v>無</v>
      </c>
    </row>
    <row r="1113" spans="1:6" ht="15" customHeight="1">
      <c r="A1113" s="7"/>
      <c r="B1113" s="72" t="s">
        <v>715</v>
      </c>
      <c r="D1113" s="17"/>
      <c r="E1113" s="14" t="s">
        <v>717</v>
      </c>
      <c r="F1113" s="154" t="str">
        <f>IF(wskakunin_TOKUREI_TAKASA=1,"■","□")</f>
        <v>□</v>
      </c>
    </row>
    <row r="1114" spans="1:6" ht="15" customHeight="1">
      <c r="A1114" s="7"/>
      <c r="B1114" s="72" t="s">
        <v>716</v>
      </c>
      <c r="D1114" s="17"/>
      <c r="E1114" s="14" t="s">
        <v>1250</v>
      </c>
      <c r="F1114" s="154" t="str">
        <f>IF(wskakunin_TOKUREI_TAKASA="","□",IF(wskakunin_TOKUREI_TAKASA=0,"■","□"))</f>
        <v>□</v>
      </c>
    </row>
    <row r="1115" spans="1:6" ht="15" customHeight="1">
      <c r="A1115" s="7"/>
      <c r="B1115" s="72"/>
      <c r="D1115" s="17"/>
      <c r="F1115" s="17"/>
    </row>
    <row r="1116" spans="1:6" ht="15" customHeight="1">
      <c r="A1116" s="45" t="s">
        <v>713</v>
      </c>
      <c r="B1116" s="70"/>
      <c r="D1116" s="17"/>
      <c r="F1116" s="17"/>
    </row>
    <row r="1117" spans="1:6" ht="15" customHeight="1">
      <c r="A1117" s="7"/>
      <c r="B1117" s="72" t="s">
        <v>1251</v>
      </c>
      <c r="C1117" s="14" t="s">
        <v>1252</v>
      </c>
      <c r="D1117" s="154"/>
      <c r="E1117" s="14" t="s">
        <v>1253</v>
      </c>
      <c r="F1117" s="154" t="str">
        <f>IF(wskakunin_TOKUREI_TAKASA_DOURO=1,"■","□")</f>
        <v>□</v>
      </c>
    </row>
    <row r="1118" spans="1:6" ht="15" customHeight="1">
      <c r="A1118" s="7"/>
      <c r="B1118" s="72" t="s">
        <v>1254</v>
      </c>
      <c r="C1118" s="14" t="s">
        <v>1255</v>
      </c>
      <c r="D1118" s="154"/>
      <c r="E1118" s="14" t="s">
        <v>1256</v>
      </c>
      <c r="F1118" s="154" t="str">
        <f>IF(wskakunin_TOKUREI_TAKASA_RINTI=1,"■","□")</f>
        <v>□</v>
      </c>
    </row>
    <row r="1119" spans="1:6" ht="15" customHeight="1">
      <c r="A1119" s="7"/>
      <c r="B1119" s="72" t="s">
        <v>1257</v>
      </c>
      <c r="C1119" s="14" t="s">
        <v>1258</v>
      </c>
      <c r="D1119" s="154"/>
      <c r="E1119" s="14" t="s">
        <v>1259</v>
      </c>
      <c r="F1119" s="154" t="str">
        <f>IF(wskakunin_TOKUREI_TAKASA_KITA=1,"■","□")</f>
        <v>□</v>
      </c>
    </row>
    <row r="1120" spans="1:6" ht="15" customHeight="1">
      <c r="A1120" s="8"/>
      <c r="B1120" s="73"/>
      <c r="D1120" s="17"/>
      <c r="F1120" s="17"/>
    </row>
    <row r="1121" spans="1:6" ht="15" customHeight="1">
      <c r="A1121" s="88" t="s">
        <v>614</v>
      </c>
      <c r="B1121" s="97"/>
      <c r="C1121" s="14" t="s">
        <v>1323</v>
      </c>
    </row>
    <row r="1122" spans="1:6" ht="15" customHeight="1">
      <c r="A1122" s="93" t="s">
        <v>1267</v>
      </c>
      <c r="B1122" s="147"/>
    </row>
    <row r="1123" spans="1:6" ht="15" customHeight="1">
      <c r="A1123" s="90"/>
      <c r="B1123" s="83" t="s">
        <v>1324</v>
      </c>
      <c r="C1123" s="14" t="s">
        <v>1329</v>
      </c>
      <c r="D1123" s="240"/>
      <c r="E1123" s="14" t="s">
        <v>1347</v>
      </c>
      <c r="F1123" s="154" t="str">
        <f>IF(wskakunin_kyoka01_HOUREI="","",wskakunin_kyoka01_HOUREI)</f>
        <v/>
      </c>
    </row>
    <row r="1124" spans="1:6" ht="15" customHeight="1">
      <c r="A1124" s="90"/>
      <c r="B1124" s="83" t="s">
        <v>1325</v>
      </c>
      <c r="C1124" s="14" t="s">
        <v>1328</v>
      </c>
      <c r="D1124" s="240"/>
      <c r="E1124" s="14" t="s">
        <v>2712</v>
      </c>
      <c r="F1124" s="154" t="str">
        <f>IF(wskakunin_kyoka01_JOUKOU="","",wskakunin_kyoka01_JOUKOU)</f>
        <v/>
      </c>
    </row>
    <row r="1125" spans="1:6" ht="15" customHeight="1">
      <c r="A1125" s="90"/>
      <c r="B1125" s="83" t="s">
        <v>1326</v>
      </c>
      <c r="C1125" s="14" t="s">
        <v>1330</v>
      </c>
      <c r="D1125" s="240"/>
      <c r="E1125" s="14" t="s">
        <v>2713</v>
      </c>
      <c r="F1125" s="154" t="str">
        <f>IF(wskakunin_kyoka01_KYOKA_NO="","",wskakunin_kyoka01_KYOKA_NO)</f>
        <v/>
      </c>
    </row>
    <row r="1126" spans="1:6" ht="15" customHeight="1">
      <c r="A1126" s="90"/>
      <c r="B1126" s="83" t="s">
        <v>1327</v>
      </c>
      <c r="C1126" s="14" t="s">
        <v>1331</v>
      </c>
      <c r="D1126" s="239"/>
      <c r="E1126" s="14" t="s">
        <v>2714</v>
      </c>
      <c r="F1126" s="154" t="str">
        <f>IF(wskakunin_kyoka01_KYOKA_DATE="","",wskakunin_kyoka01_KYOKA_DATE)</f>
        <v/>
      </c>
    </row>
    <row r="1127" spans="1:6" ht="15" customHeight="1">
      <c r="A1127" s="90"/>
      <c r="B1127" s="83" t="s">
        <v>484</v>
      </c>
      <c r="C1127" s="14" t="s">
        <v>1332</v>
      </c>
      <c r="D1127" s="240"/>
      <c r="E1127" s="14" t="s">
        <v>2715</v>
      </c>
      <c r="F1127" s="154" t="str">
        <f>IF(wskakunin_kyoka01_BIKOU="","",wskakunin_kyoka01_BIKOU)</f>
        <v/>
      </c>
    </row>
    <row r="1128" spans="1:6" ht="15" customHeight="1">
      <c r="A1128" s="90"/>
      <c r="B1128" s="148" t="s">
        <v>1344</v>
      </c>
      <c r="D1128" s="34"/>
      <c r="F1128" s="17"/>
    </row>
    <row r="1129" spans="1:6" ht="15" customHeight="1">
      <c r="A1129" s="90"/>
      <c r="B1129" s="148"/>
      <c r="D1129" s="17"/>
      <c r="F1129" s="17"/>
    </row>
    <row r="1130" spans="1:6" ht="15" customHeight="1">
      <c r="A1130" s="93" t="s">
        <v>1274</v>
      </c>
      <c r="B1130" s="147"/>
    </row>
    <row r="1131" spans="1:6" ht="15" customHeight="1">
      <c r="A1131" s="90"/>
      <c r="B1131" s="83" t="s">
        <v>1324</v>
      </c>
      <c r="C1131" s="14" t="s">
        <v>1333</v>
      </c>
      <c r="D1131" s="240"/>
      <c r="E1131" s="14" t="s">
        <v>1348</v>
      </c>
      <c r="F1131" s="154" t="str">
        <f>IF(wskakunin_kyoka02_HOUREI="","",wskakunin_kyoka02_HOUREI)</f>
        <v/>
      </c>
    </row>
    <row r="1132" spans="1:6" ht="15" customHeight="1">
      <c r="A1132" s="90"/>
      <c r="B1132" s="83" t="s">
        <v>1325</v>
      </c>
      <c r="C1132" s="14" t="s">
        <v>1334</v>
      </c>
      <c r="D1132" s="240"/>
      <c r="E1132" s="14" t="s">
        <v>2716</v>
      </c>
      <c r="F1132" s="154" t="str">
        <f>IF(wskakunin_kyoka02_JOUKOU="","",wskakunin_kyoka02_JOUKOU)</f>
        <v/>
      </c>
    </row>
    <row r="1133" spans="1:6" ht="15" customHeight="1">
      <c r="A1133" s="90"/>
      <c r="B1133" s="83" t="s">
        <v>1326</v>
      </c>
      <c r="C1133" s="14" t="s">
        <v>1335</v>
      </c>
      <c r="D1133" s="240"/>
      <c r="E1133" s="14" t="s">
        <v>2717</v>
      </c>
      <c r="F1133" s="154" t="str">
        <f>IF(wskakunin_kyoka02_KYOKA_NO="","",wskakunin_kyoka02_KYOKA_NO)</f>
        <v/>
      </c>
    </row>
    <row r="1134" spans="1:6" ht="15" customHeight="1">
      <c r="A1134" s="90"/>
      <c r="B1134" s="83" t="s">
        <v>1327</v>
      </c>
      <c r="C1134" s="14" t="s">
        <v>1336</v>
      </c>
      <c r="D1134" s="260"/>
      <c r="E1134" s="14" t="s">
        <v>2718</v>
      </c>
      <c r="F1134" s="260" t="str">
        <f>IF(wskakunin_kyoka02_KYOKA_DATE="","",wskakunin_kyoka02_KYOKA_DATE)</f>
        <v/>
      </c>
    </row>
    <row r="1135" spans="1:6" ht="15" customHeight="1">
      <c r="A1135" s="90"/>
      <c r="B1135" s="83" t="s">
        <v>484</v>
      </c>
      <c r="C1135" s="14" t="s">
        <v>1337</v>
      </c>
      <c r="D1135" s="240"/>
      <c r="E1135" s="14" t="s">
        <v>2719</v>
      </c>
      <c r="F1135" s="154" t="str">
        <f>IF(wskakunin_kyoka02_BIKOU="","",wskakunin_kyoka02_BIKOU)</f>
        <v/>
      </c>
    </row>
    <row r="1136" spans="1:6" ht="15" customHeight="1">
      <c r="A1136" s="90"/>
      <c r="B1136" s="148" t="s">
        <v>1346</v>
      </c>
      <c r="D1136" s="34"/>
      <c r="F1136" s="17"/>
    </row>
    <row r="1137" spans="1:8" ht="15" customHeight="1">
      <c r="A1137" s="149"/>
      <c r="B1137" s="148"/>
      <c r="D1137" s="17"/>
      <c r="F1137" s="17"/>
    </row>
    <row r="1138" spans="1:8" ht="15" customHeight="1">
      <c r="A1138" s="93" t="s">
        <v>1278</v>
      </c>
      <c r="B1138" s="147"/>
    </row>
    <row r="1139" spans="1:8" ht="15" customHeight="1">
      <c r="A1139" s="90"/>
      <c r="B1139" s="83" t="s">
        <v>1324</v>
      </c>
      <c r="C1139" s="14" t="s">
        <v>1338</v>
      </c>
      <c r="D1139" s="240"/>
      <c r="E1139" s="14" t="s">
        <v>1349</v>
      </c>
      <c r="F1139" s="154" t="str">
        <f>IF(wskakunin_kyoka03_HOUREI="","",wskakunin_kyoka03_HOUREI)</f>
        <v/>
      </c>
    </row>
    <row r="1140" spans="1:8" ht="15" customHeight="1">
      <c r="A1140" s="90"/>
      <c r="B1140" s="83" t="s">
        <v>1325</v>
      </c>
      <c r="C1140" s="14" t="s">
        <v>1339</v>
      </c>
      <c r="D1140" s="240"/>
      <c r="E1140" s="14" t="s">
        <v>2720</v>
      </c>
      <c r="F1140" s="154" t="str">
        <f>IF(wskakunin_kyoka03_JOUKOU="","",wskakunin_kyoka03_JOUKOU)</f>
        <v/>
      </c>
    </row>
    <row r="1141" spans="1:8" ht="15" customHeight="1">
      <c r="A1141" s="90"/>
      <c r="B1141" s="83" t="s">
        <v>1326</v>
      </c>
      <c r="C1141" s="14" t="s">
        <v>1340</v>
      </c>
      <c r="D1141" s="240"/>
      <c r="E1141" s="14" t="s">
        <v>2721</v>
      </c>
      <c r="F1141" s="154" t="str">
        <f>IF(wskakunin_kyoka03_KYOKA_NO="","",wskakunin_kyoka03_KYOKA_NO)</f>
        <v/>
      </c>
    </row>
    <row r="1142" spans="1:8" ht="15" customHeight="1">
      <c r="A1142" s="90"/>
      <c r="B1142" s="83" t="s">
        <v>1327</v>
      </c>
      <c r="C1142" s="14" t="s">
        <v>1341</v>
      </c>
      <c r="D1142" s="260"/>
      <c r="E1142" s="14" t="s">
        <v>2722</v>
      </c>
      <c r="F1142" s="260" t="str">
        <f>IF(wskakunin_kyoka03_KYOKA_DATE="","",wskakunin_kyoka03_KYOKA_DATE)</f>
        <v/>
      </c>
    </row>
    <row r="1143" spans="1:8" ht="15" customHeight="1">
      <c r="A1143" s="90"/>
      <c r="B1143" s="83" t="s">
        <v>484</v>
      </c>
      <c r="C1143" s="14" t="s">
        <v>1342</v>
      </c>
      <c r="D1143" s="240"/>
      <c r="E1143" s="14" t="s">
        <v>2723</v>
      </c>
      <c r="F1143" s="154" t="str">
        <f>IF(wskakunin_kyoka03_BIKOU="","",wskakunin_kyoka03_BIKOU)</f>
        <v/>
      </c>
    </row>
    <row r="1144" spans="1:8" ht="15" customHeight="1">
      <c r="A1144" s="90"/>
      <c r="B1144" s="148" t="s">
        <v>1345</v>
      </c>
      <c r="D1144" s="34"/>
      <c r="F1144" s="17"/>
    </row>
    <row r="1145" spans="1:8" ht="15" customHeight="1">
      <c r="A1145" s="149"/>
      <c r="B1145" s="83"/>
      <c r="D1145" s="17"/>
      <c r="F1145" s="17"/>
    </row>
    <row r="1146" spans="1:8" ht="15" customHeight="1">
      <c r="A1146" s="90" t="s">
        <v>1343</v>
      </c>
      <c r="B1146" s="146"/>
      <c r="D1146" s="17"/>
      <c r="E1146" s="14" t="s">
        <v>1350</v>
      </c>
      <c r="F1146" s="154" t="str">
        <f>cst_wskakunin_kyoka01_HOUREI&amp;IF(cst_wskakunin_kyoka02_HOUREI&lt;&gt;"",CHAR(10)&amp;cst_wskakunin_kyoka02_HOUREI,cst_wskakunin_kyoka02_HOUREI)&amp;IF(cst_wskakunin_kyoka03_HOUREI&lt;&gt;"",CHAR(10)&amp;cst_wskakunin_kyoka03_HOUREI,cst_wskakunin_kyoka03_HOUREI)</f>
        <v/>
      </c>
      <c r="G1146" s="14" t="s">
        <v>1351</v>
      </c>
    </row>
    <row r="1147" spans="1:8" ht="15" customHeight="1">
      <c r="A1147" s="92"/>
      <c r="B1147" s="98"/>
      <c r="D1147" s="17"/>
      <c r="F1147" s="17"/>
    </row>
    <row r="1148" spans="1:8" ht="15" customHeight="1">
      <c r="A1148" s="88" t="s">
        <v>1260</v>
      </c>
      <c r="B1148" s="97"/>
      <c r="C1148" s="14" t="s">
        <v>1261</v>
      </c>
      <c r="D1148" s="260"/>
      <c r="E1148" s="14" t="s">
        <v>1262</v>
      </c>
      <c r="F1148" s="260" t="str">
        <f>IF(wskakunin_KOUJI_TYAKUSYU_YOTEI_DATE="", "", wskakunin_KOUJI_TYAKUSYU_YOTEI_DATE)</f>
        <v/>
      </c>
    </row>
    <row r="1149" spans="1:8" ht="15" customHeight="1">
      <c r="A1149" s="205"/>
      <c r="B1149" s="213"/>
      <c r="D1149" s="17"/>
      <c r="F1149" s="17"/>
    </row>
    <row r="1150" spans="1:8" ht="15" customHeight="1">
      <c r="A1150" s="88" t="s">
        <v>1263</v>
      </c>
      <c r="B1150" s="97"/>
      <c r="C1150" s="14" t="s">
        <v>1264</v>
      </c>
      <c r="D1150" s="260">
        <v>45088</v>
      </c>
      <c r="E1150" s="14" t="s">
        <v>1265</v>
      </c>
      <c r="F1150" s="260">
        <f>IF(wskakunin_KOUJI_KANRYOU_YOTEI_DATE="", "", wskakunin_KOUJI_KANRYOU_YOTEI_DATE)</f>
        <v>45088</v>
      </c>
    </row>
    <row r="1151" spans="1:8" ht="15" customHeight="1">
      <c r="A1151" s="92"/>
      <c r="B1151" s="98"/>
      <c r="D1151" s="17"/>
      <c r="F1151" s="17"/>
    </row>
    <row r="1152" spans="1:8" ht="15" customHeight="1">
      <c r="A1152" s="48"/>
      <c r="B1152" s="49" t="s">
        <v>693</v>
      </c>
      <c r="E1152" s="14" t="s">
        <v>2493</v>
      </c>
      <c r="F1152" s="44" t="str">
        <f>IF(OR(wskakunin_KOUJI_TYAKUSYU_YOTEI_DATE="",wskakunin_KOUJI_KANRYOU_YOTEI_DATE=""),"",IF(DATEDIF(wskakunin_KOUJI_TYAKUSYU_YOTEI_DATE,wskakunin_KOUJI_KANRYOU_YOTEI_DATE,"D")&lt;=44,0,DATEDIF(wskakunin_KOUJI_TYAKUSYU_YOTEI_DATE,wskakunin_KOUJI_KANRYOU_YOTEI_DATE+16,"Y")))</f>
        <v/>
      </c>
      <c r="G1152" s="17"/>
      <c r="H1152" s="17"/>
    </row>
    <row r="1153" spans="1:8" ht="15" customHeight="1">
      <c r="A1153" s="50"/>
      <c r="B1153" s="67" t="s">
        <v>694</v>
      </c>
      <c r="E1153" s="14" t="s">
        <v>2494</v>
      </c>
      <c r="F1153" s="44" t="str">
        <f>IF(OR(wskakunin_KOUJI_TYAKUSYU_YOTEI_DATE="",wskakunin_KOUJI_KANRYOU_YOTEI_DATE=""),"",IF(DATEDIF(wskakunin_KOUJI_TYAKUSYU_YOTEI_DATE,wskakunin_KOUJI_KANRYOU_YOTEI_DATE,"D")&lt;=44,1,DATEDIF(wskakunin_KOUJI_TYAKUSYU_YOTEI_DATE,wskakunin_KOUJI_KANRYOU_YOTEI_DATE+16,"YM")))</f>
        <v/>
      </c>
      <c r="G1153" s="17"/>
      <c r="H1153" s="17"/>
    </row>
    <row r="1154" spans="1:8" ht="15" customHeight="1">
      <c r="A1154" s="51"/>
      <c r="B1154" s="63"/>
      <c r="G1154" s="17"/>
      <c r="H1154" s="17"/>
    </row>
    <row r="1155" spans="1:8" ht="15" customHeight="1">
      <c r="G1155" s="17"/>
      <c r="H1155" s="17"/>
    </row>
    <row r="1156" spans="1:8" ht="15" customHeight="1">
      <c r="A1156" s="89" t="s">
        <v>1266</v>
      </c>
      <c r="B1156" s="110"/>
    </row>
    <row r="1157" spans="1:8" ht="15" customHeight="1">
      <c r="A1157" s="93" t="s">
        <v>1267</v>
      </c>
      <c r="B1157" s="111"/>
    </row>
    <row r="1158" spans="1:8" ht="15" customHeight="1">
      <c r="A1158" s="91"/>
      <c r="B1158" s="83" t="s">
        <v>718</v>
      </c>
      <c r="C1158" s="14" t="s">
        <v>1268</v>
      </c>
      <c r="D1158" s="154"/>
      <c r="E1158" s="14" t="s">
        <v>1269</v>
      </c>
      <c r="F1158" s="154" t="str">
        <f>IF(wskakunin_koutei01_KOUTEI_KAISUU="","",wskakunin_koutei01_KOUTEI_KAISUU)</f>
        <v/>
      </c>
    </row>
    <row r="1159" spans="1:8" ht="15" customHeight="1">
      <c r="A1159" s="91"/>
      <c r="B1159" s="83" t="s">
        <v>719</v>
      </c>
      <c r="C1159" s="14" t="s">
        <v>1270</v>
      </c>
      <c r="D1159" s="260"/>
      <c r="E1159" s="14" t="s">
        <v>1271</v>
      </c>
      <c r="F1159" s="260" t="str">
        <f>IF(wskakunin_koutei01_KOUTEI_DATE="","",wskakunin_koutei01_KOUTEI_DATE)</f>
        <v/>
      </c>
    </row>
    <row r="1160" spans="1:8" ht="15" customHeight="1">
      <c r="A1160" s="91"/>
      <c r="B1160" s="83" t="s">
        <v>720</v>
      </c>
      <c r="C1160" s="14" t="s">
        <v>1272</v>
      </c>
      <c r="D1160" s="154"/>
      <c r="E1160" s="14" t="s">
        <v>1273</v>
      </c>
      <c r="F1160" s="154" t="str">
        <f>IF(wskakunin_koutei01_KOUTEI_TEXT="","",wskakunin_koutei01_KOUTEI_TEXT)</f>
        <v/>
      </c>
    </row>
    <row r="1161" spans="1:8" ht="15" customHeight="1">
      <c r="A1161" s="94"/>
      <c r="B1161" s="83"/>
      <c r="D1161" s="17"/>
      <c r="F1161" s="17"/>
    </row>
    <row r="1162" spans="1:8" ht="15" customHeight="1">
      <c r="A1162" s="93" t="s">
        <v>1274</v>
      </c>
      <c r="B1162" s="111"/>
    </row>
    <row r="1163" spans="1:8" ht="15" customHeight="1">
      <c r="A1163" s="91"/>
      <c r="B1163" s="83" t="s">
        <v>718</v>
      </c>
      <c r="C1163" s="14" t="s">
        <v>1275</v>
      </c>
      <c r="D1163" s="154"/>
      <c r="E1163" s="14" t="s">
        <v>636</v>
      </c>
      <c r="F1163" s="154" t="str">
        <f>IF(wskakunin_koutei02_KOUTEI_KAISUU="","",wskakunin_koutei02_KOUTEI_KAISUU)</f>
        <v/>
      </c>
    </row>
    <row r="1164" spans="1:8" ht="15" customHeight="1">
      <c r="A1164" s="91"/>
      <c r="B1164" s="83" t="s">
        <v>719</v>
      </c>
      <c r="C1164" s="14" t="s">
        <v>1276</v>
      </c>
      <c r="D1164" s="260"/>
      <c r="E1164" s="14" t="s">
        <v>637</v>
      </c>
      <c r="F1164" s="260" t="str">
        <f>IF(wskakunin_koutei02_KOUTEI_DATE="","",wskakunin_koutei02_KOUTEI_DATE)</f>
        <v/>
      </c>
    </row>
    <row r="1165" spans="1:8" ht="15" customHeight="1">
      <c r="A1165" s="91"/>
      <c r="B1165" s="83" t="s">
        <v>720</v>
      </c>
      <c r="C1165" s="14" t="s">
        <v>1277</v>
      </c>
      <c r="D1165" s="154"/>
      <c r="E1165" s="14" t="s">
        <v>638</v>
      </c>
      <c r="F1165" s="154" t="str">
        <f>IF(wskakunin_koutei02_KOUTEI_TEXT="","",wskakunin_koutei02_KOUTEI_TEXT)</f>
        <v/>
      </c>
    </row>
    <row r="1166" spans="1:8" ht="15" customHeight="1">
      <c r="A1166" s="95"/>
      <c r="B1166" s="83"/>
      <c r="D1166" s="17"/>
      <c r="F1166" s="17"/>
    </row>
    <row r="1167" spans="1:8" ht="15" customHeight="1">
      <c r="A1167" s="90" t="s">
        <v>1278</v>
      </c>
      <c r="B1167" s="44"/>
    </row>
    <row r="1168" spans="1:8" ht="15" customHeight="1">
      <c r="A1168" s="91"/>
      <c r="B1168" s="83" t="s">
        <v>718</v>
      </c>
      <c r="C1168" s="14" t="s">
        <v>1279</v>
      </c>
      <c r="D1168" s="154"/>
      <c r="E1168" s="14" t="s">
        <v>1280</v>
      </c>
      <c r="F1168" s="154" t="str">
        <f>IF(wskakunin_koutei03_KOUTEI_KAISUU="","",wskakunin_koutei03_KOUTEI_KAISUU)</f>
        <v/>
      </c>
    </row>
    <row r="1169" spans="1:6" ht="15" customHeight="1">
      <c r="A1169" s="91"/>
      <c r="B1169" s="83" t="s">
        <v>719</v>
      </c>
      <c r="C1169" s="14" t="s">
        <v>1281</v>
      </c>
      <c r="D1169" s="260"/>
      <c r="E1169" s="14" t="s">
        <v>1282</v>
      </c>
      <c r="F1169" s="260" t="str">
        <f>IF(wskakunin_koutei03_KOUTEI_DATE="","",wskakunin_koutei03_KOUTEI_DATE)</f>
        <v/>
      </c>
    </row>
    <row r="1170" spans="1:6" ht="15" customHeight="1">
      <c r="A1170" s="91"/>
      <c r="B1170" s="83" t="s">
        <v>720</v>
      </c>
      <c r="C1170" s="14" t="s">
        <v>1283</v>
      </c>
      <c r="D1170" s="154"/>
      <c r="E1170" s="14" t="s">
        <v>1284</v>
      </c>
      <c r="F1170" s="154" t="str">
        <f>IF(wskakunin_koutei03_KOUTEI_TEXT="","",wskakunin_koutei03_KOUTEI_TEXT)</f>
        <v/>
      </c>
    </row>
    <row r="1171" spans="1:6" ht="15" customHeight="1">
      <c r="A1171" s="95"/>
      <c r="B1171" s="83"/>
      <c r="D1171" s="17"/>
      <c r="F1171" s="17"/>
    </row>
    <row r="1172" spans="1:6" ht="15" customHeight="1">
      <c r="A1172" s="90" t="s">
        <v>2456</v>
      </c>
      <c r="B1172" s="44"/>
    </row>
    <row r="1173" spans="1:6" ht="15" customHeight="1">
      <c r="A1173" s="91"/>
      <c r="B1173" s="83" t="s">
        <v>718</v>
      </c>
      <c r="C1173" s="14" t="s">
        <v>2697</v>
      </c>
      <c r="D1173" s="154"/>
      <c r="E1173" s="14" t="s">
        <v>2762</v>
      </c>
      <c r="F1173" s="154" t="str">
        <f>IF(wskakunin_koutei04_KOUTEI_KAISUU="","",wskakunin_koutei04_KOUTEI_KAISUU)</f>
        <v/>
      </c>
    </row>
    <row r="1174" spans="1:6" ht="15" customHeight="1">
      <c r="A1174" s="91"/>
      <c r="B1174" s="83" t="s">
        <v>719</v>
      </c>
      <c r="C1174" s="14" t="s">
        <v>2698</v>
      </c>
      <c r="D1174" s="260"/>
      <c r="E1174" s="14" t="s">
        <v>2763</v>
      </c>
      <c r="F1174" s="260" t="str">
        <f>IF(wskakunin_koutei04_KOUTEI_DATE="","",wskakunin_koutei04_KOUTEI_DATE)</f>
        <v/>
      </c>
    </row>
    <row r="1175" spans="1:6" ht="15" customHeight="1">
      <c r="A1175" s="91"/>
      <c r="B1175" s="83" t="s">
        <v>720</v>
      </c>
      <c r="C1175" s="14" t="s">
        <v>2699</v>
      </c>
      <c r="D1175" s="154"/>
      <c r="E1175" s="14" t="s">
        <v>2764</v>
      </c>
      <c r="F1175" s="154" t="str">
        <f>IF(wskakunin_koutei04_KOUTEI_TEXT="","",wskakunin_koutei04_KOUTEI_TEXT)</f>
        <v/>
      </c>
    </row>
    <row r="1176" spans="1:6" ht="15" customHeight="1">
      <c r="A1176" s="96"/>
      <c r="B1176" s="266"/>
      <c r="D1176" s="17"/>
      <c r="F1176" s="17"/>
    </row>
    <row r="1177" spans="1:6" ht="15" customHeight="1">
      <c r="A1177" s="265" t="s">
        <v>2769</v>
      </c>
      <c r="B1177" s="267"/>
      <c r="C1177" s="14" t="s">
        <v>2770</v>
      </c>
      <c r="D1177" s="154"/>
      <c r="E1177" s="14" t="s">
        <v>2771</v>
      </c>
      <c r="F1177" s="154" t="str">
        <f>IF(wskakunin_BOUKA_SETUBI_FLAG="","",wskakunin_BOUKA_SETUBI_FLAG)</f>
        <v/>
      </c>
    </row>
    <row r="1178" spans="1:6" ht="15" customHeight="1">
      <c r="A1178" s="265"/>
      <c r="B1178" s="83" t="s">
        <v>715</v>
      </c>
      <c r="D1178" s="17"/>
      <c r="E1178" s="14" t="s">
        <v>2772</v>
      </c>
      <c r="F1178" s="154" t="str">
        <f>IF(wskakunin_BOUKA_SETUBI_FLAG=1,"■","□")</f>
        <v>□</v>
      </c>
    </row>
    <row r="1179" spans="1:6" ht="15" customHeight="1">
      <c r="A1179" s="265"/>
      <c r="B1179" s="83" t="s">
        <v>716</v>
      </c>
      <c r="D1179" s="17"/>
      <c r="E1179" s="14" t="s">
        <v>2773</v>
      </c>
      <c r="F1179" s="154" t="str">
        <f>IF(wskakunin_BOUKA_SETUBI_FLAG="","□",IF(wskakunin_BOUKA_SETUBI_FLAG=0,"■","□"))</f>
        <v>□</v>
      </c>
    </row>
    <row r="1180" spans="1:6" ht="15" customHeight="1">
      <c r="A1180" s="265"/>
      <c r="B1180" s="146"/>
      <c r="D1180" s="17"/>
      <c r="F1180" s="17"/>
    </row>
    <row r="1181" spans="1:6" ht="15" customHeight="1">
      <c r="A1181" s="30" t="s">
        <v>1285</v>
      </c>
      <c r="B1181" s="97"/>
      <c r="C1181" s="14" t="s">
        <v>1286</v>
      </c>
      <c r="D1181" s="154"/>
      <c r="E1181" s="14" t="s">
        <v>1287</v>
      </c>
      <c r="F1181" s="154" t="str">
        <f>IF(wskakunin_P3_SONOTA="","",wskakunin_P3_SONOTA)</f>
        <v/>
      </c>
    </row>
    <row r="1182" spans="1:6" ht="15" customHeight="1">
      <c r="A1182" s="31"/>
      <c r="B1182" s="98"/>
      <c r="D1182" s="17"/>
      <c r="F1182" s="17"/>
    </row>
    <row r="1183" spans="1:6" ht="15" customHeight="1">
      <c r="A1183" s="99" t="s">
        <v>615</v>
      </c>
      <c r="B1183" s="100"/>
      <c r="C1183" s="14" t="s">
        <v>1288</v>
      </c>
      <c r="D1183" s="154"/>
      <c r="E1183" s="14" t="s">
        <v>1289</v>
      </c>
      <c r="F1183" s="154" t="str">
        <f>IF(wskakunin_P3_BIKOU="","",wskakunin_P3_BIKOU)</f>
        <v/>
      </c>
    </row>
    <row r="1184" spans="1:6" ht="15" customHeight="1">
      <c r="A1184" s="51"/>
      <c r="B1184" s="63"/>
    </row>
    <row r="1187" spans="1:7" ht="15" customHeight="1">
      <c r="A1187" s="181" t="s">
        <v>1290</v>
      </c>
      <c r="B1187" s="107" t="s">
        <v>118</v>
      </c>
    </row>
    <row r="1188" spans="1:7" ht="15" customHeight="1">
      <c r="A1188" s="89" t="s">
        <v>727</v>
      </c>
      <c r="B1188" s="110"/>
    </row>
    <row r="1189" spans="1:7" ht="15" customHeight="1">
      <c r="A1189" s="182" t="s">
        <v>726</v>
      </c>
      <c r="B1189" s="183"/>
    </row>
    <row r="1190" spans="1:7" ht="15" customHeight="1">
      <c r="A1190" s="50"/>
      <c r="B1190" s="75" t="s">
        <v>2334</v>
      </c>
      <c r="E1190" s="34" t="s">
        <v>2335</v>
      </c>
      <c r="F1190" s="44" t="str">
        <f>IF(wskakunin_TOKUREI_1="1","第１号",IF(wskakunin_TOKUREI_2="1","第２号",IF(wskakunin_TOKUREI_3="1","第３号",IF(wskakunin_TOKUREI_4="1","第４号",""))))</f>
        <v>第３号</v>
      </c>
    </row>
    <row r="1191" spans="1:7" ht="15" customHeight="1">
      <c r="A1191" s="50"/>
      <c r="B1191" s="74" t="s">
        <v>722</v>
      </c>
      <c r="C1191" s="34" t="s">
        <v>1352</v>
      </c>
      <c r="D1191" s="241"/>
    </row>
    <row r="1192" spans="1:7" ht="15" customHeight="1">
      <c r="A1192" s="50"/>
      <c r="B1192" s="74" t="s">
        <v>723</v>
      </c>
      <c r="C1192" s="34" t="s">
        <v>1353</v>
      </c>
      <c r="D1192" s="241"/>
    </row>
    <row r="1193" spans="1:7" ht="15" customHeight="1">
      <c r="A1193" s="50"/>
      <c r="B1193" s="74" t="s">
        <v>724</v>
      </c>
      <c r="C1193" s="34" t="s">
        <v>1354</v>
      </c>
      <c r="D1193" s="241" t="s">
        <v>3291</v>
      </c>
    </row>
    <row r="1194" spans="1:7" ht="15" customHeight="1">
      <c r="A1194" s="50"/>
      <c r="B1194" s="74" t="s">
        <v>725</v>
      </c>
      <c r="C1194" s="34" t="s">
        <v>1355</v>
      </c>
      <c r="D1194" s="241"/>
    </row>
    <row r="1195" spans="1:7" ht="15" customHeight="1">
      <c r="A1195" s="184"/>
      <c r="B1195" s="75"/>
    </row>
    <row r="1196" spans="1:7" ht="15" customHeight="1">
      <c r="A1196" s="48" t="s">
        <v>728</v>
      </c>
      <c r="B1196" s="49"/>
      <c r="C1196" s="14" t="s">
        <v>1356</v>
      </c>
      <c r="D1196" s="241"/>
      <c r="E1196" s="14" t="s">
        <v>2343</v>
      </c>
      <c r="F1196" s="44" t="str">
        <f>IF(wskakunin_KENTIKU_NINSYO_NO="","",wskakunin_KENTIKU_NINSYO_NO)</f>
        <v/>
      </c>
    </row>
    <row r="1197" spans="1:7" ht="15" customHeight="1">
      <c r="A1197" s="179"/>
      <c r="B1197" s="180"/>
    </row>
    <row r="1198" spans="1:7" ht="15" customHeight="1">
      <c r="A1198" s="185" t="s">
        <v>729</v>
      </c>
      <c r="B1198" s="49"/>
      <c r="C1198" s="14" t="s">
        <v>2344</v>
      </c>
      <c r="D1198" s="263">
        <v>44984</v>
      </c>
      <c r="E1198" s="14" t="s">
        <v>2360</v>
      </c>
      <c r="F1198" s="263">
        <f ca="1">IF(chk_JOB_KIND_kakunin=1,"",IF(wskakunin_KOUJI_TYAKUSYU_DATE="","",wskakunin_KOUJI_TYAKUSYU_DATE))</f>
        <v>44984</v>
      </c>
      <c r="G1198" s="14" t="s">
        <v>2346</v>
      </c>
    </row>
    <row r="1199" spans="1:7" ht="15" customHeight="1">
      <c r="A1199" s="186"/>
      <c r="B1199" s="180"/>
      <c r="D1199" s="106"/>
    </row>
    <row r="1200" spans="1:7" ht="15" customHeight="1">
      <c r="A1200" s="185" t="s">
        <v>2754</v>
      </c>
      <c r="B1200" s="49"/>
      <c r="D1200" s="106"/>
    </row>
    <row r="1201" spans="1:7" ht="15" customHeight="1">
      <c r="A1201" s="236"/>
      <c r="B1201" s="75" t="s">
        <v>2753</v>
      </c>
      <c r="D1201" s="106"/>
      <c r="E1201" s="14" t="s">
        <v>2755</v>
      </c>
      <c r="F1201" s="263">
        <f ca="1">IF(chk_JOB_KIND_kakunin=1,"",IF(wskakunin_KOUJI_KANRYOU_YOTEI_DATE="","",wskakunin_KOUJI_KANRYOU_YOTEI_DATE))</f>
        <v>45088</v>
      </c>
    </row>
    <row r="1202" spans="1:7" ht="15" customHeight="1">
      <c r="A1202" s="185" t="s">
        <v>730</v>
      </c>
      <c r="B1202" s="49"/>
    </row>
    <row r="1203" spans="1:7" ht="15" customHeight="1">
      <c r="A1203" s="50"/>
      <c r="B1203" s="74" t="s">
        <v>645</v>
      </c>
      <c r="C1203" s="14" t="s">
        <v>1377</v>
      </c>
      <c r="D1203" s="241" t="s">
        <v>538</v>
      </c>
      <c r="E1203" s="14" t="s">
        <v>2362</v>
      </c>
      <c r="F1203" s="44" t="str">
        <f>IF(wskakunin_TOKUTEI_KOUTEI="","",wskakunin_TOKUTEI_KOUTEI)</f>
        <v>屋根の小屋組工事及び構造耐力上主要な軸組の工事</v>
      </c>
      <c r="G1203" s="14" t="s">
        <v>2348</v>
      </c>
    </row>
    <row r="1204" spans="1:7" ht="15" customHeight="1">
      <c r="A1204" s="50"/>
      <c r="B1204" s="75" t="s">
        <v>2349</v>
      </c>
      <c r="E1204" s="14" t="s">
        <v>2363</v>
      </c>
      <c r="F1204" s="44" t="str">
        <f ca="1">IF(chk_JOB_KIND_kakunin=1,IF(wskakunin_koutei01_KOUTEI_TEXT="","",wskakunin_koutei01_KOUTEI_TEXT),cst_wskakunin_TOKUTEI_KOUTEI)</f>
        <v>屋根の小屋組工事及び構造耐力上主要な軸組の工事</v>
      </c>
    </row>
    <row r="1205" spans="1:7" ht="15" customHeight="1">
      <c r="A1205" s="50"/>
      <c r="B1205" s="75" t="s">
        <v>2350</v>
      </c>
      <c r="E1205" s="14" t="s">
        <v>2364</v>
      </c>
      <c r="F1205" s="44" t="str">
        <f ca="1">IF(chk_JOB_KIND_kakunin=1,IF(wskakunin_koutei02_KOUTEI_TEXT="","",wskakunin_koutei02_KOUTEI_TEXT),cst_wskakunin_TOKUTEI_KOUTEI)</f>
        <v>屋根の小屋組工事及び構造耐力上主要な軸組の工事</v>
      </c>
    </row>
    <row r="1206" spans="1:7" ht="15" customHeight="1">
      <c r="A1206" s="50"/>
      <c r="B1206" s="74" t="s">
        <v>731</v>
      </c>
      <c r="C1206" s="14" t="s">
        <v>1378</v>
      </c>
      <c r="D1206" s="263">
        <v>45032</v>
      </c>
      <c r="E1206" s="14" t="s">
        <v>2365</v>
      </c>
      <c r="F1206" s="263">
        <f ca="1">IF(chk_JOB_KIND_kakunin=1,"",IF(wskakunin_TOKUTEI_KOUJI_KANRYOU_DATE="","",wskakunin_TOKUTEI_KOUJI_KANRYOU_DATE))</f>
        <v>45032</v>
      </c>
      <c r="G1206" s="14" t="s">
        <v>2346</v>
      </c>
    </row>
    <row r="1207" spans="1:7" ht="15" customHeight="1">
      <c r="A1207" s="50"/>
      <c r="B1207" s="74"/>
      <c r="D1207" s="106"/>
    </row>
    <row r="1208" spans="1:7" ht="15" customHeight="1">
      <c r="A1208" s="50"/>
      <c r="B1208" s="74" t="s">
        <v>732</v>
      </c>
      <c r="C1208" s="14" t="s">
        <v>1379</v>
      </c>
      <c r="D1208" s="262">
        <v>79.7</v>
      </c>
      <c r="E1208" s="14" t="s">
        <v>2366</v>
      </c>
      <c r="F1208" s="44">
        <f ca="1">IF(chk_JOB_KIND_kakunin=1,"",IF(wskakunin_KENSA_YUKA_MENSEKI="","",wskakunin_KENSA_YUKA_MENSEKI))</f>
        <v>79.7</v>
      </c>
      <c r="G1208" s="14" t="s">
        <v>2346</v>
      </c>
    </row>
    <row r="1209" spans="1:7" ht="15" customHeight="1">
      <c r="A1209" s="179"/>
      <c r="B1209" s="188"/>
    </row>
    <row r="1210" spans="1:7" ht="15" customHeight="1">
      <c r="A1210" s="185" t="s">
        <v>733</v>
      </c>
      <c r="B1210" s="49"/>
    </row>
    <row r="1211" spans="1:7" ht="15" customHeight="1">
      <c r="A1211" s="200" t="s">
        <v>1267</v>
      </c>
      <c r="B1211" s="183"/>
    </row>
    <row r="1212" spans="1:7" ht="15" customHeight="1">
      <c r="A1212" s="201"/>
      <c r="B1212" s="75" t="s">
        <v>718</v>
      </c>
      <c r="C1212" s="14" t="s">
        <v>1380</v>
      </c>
      <c r="D1212" s="241"/>
      <c r="E1212" s="14" t="s">
        <v>2367</v>
      </c>
      <c r="F1212" s="44" t="str">
        <f>IF(wskakunin_koutei_izen01_KOUTEI_KAISUU="","",wskakunin_koutei_izen01_KOUTEI_KAISUU)</f>
        <v/>
      </c>
    </row>
    <row r="1213" spans="1:7" ht="15" customHeight="1">
      <c r="A1213" s="201"/>
      <c r="B1213" s="74" t="s">
        <v>645</v>
      </c>
      <c r="C1213" s="14" t="s">
        <v>1381</v>
      </c>
      <c r="D1213" s="241"/>
      <c r="E1213" s="14" t="s">
        <v>2368</v>
      </c>
      <c r="F1213" s="44" t="str">
        <f>IF(wskakunin_koutei_izen01_KOUTEI_TEXT="","",wskakunin_koutei_izen01_KOUTEI_TEXT)</f>
        <v/>
      </c>
    </row>
    <row r="1214" spans="1:7" ht="15" customHeight="1">
      <c r="A1214" s="201"/>
      <c r="B1214" s="116" t="s">
        <v>734</v>
      </c>
      <c r="C1214" s="14" t="s">
        <v>1382</v>
      </c>
      <c r="D1214" s="241"/>
      <c r="E1214" s="14" t="s">
        <v>2369</v>
      </c>
      <c r="F1214" s="44" t="str">
        <f>IF(wskakunin_koutei_izen01_INTER_ISSUE_NAME="","",wskakunin_koutei_izen01_INTER_ISSUE_NAME)</f>
        <v/>
      </c>
    </row>
    <row r="1215" spans="1:7" ht="15" customHeight="1">
      <c r="A1215" s="201"/>
      <c r="B1215" s="116" t="s">
        <v>735</v>
      </c>
      <c r="C1215" s="14" t="s">
        <v>1383</v>
      </c>
      <c r="D1215" s="241"/>
      <c r="E1215" s="14" t="s">
        <v>2370</v>
      </c>
      <c r="F1215" s="44" t="str">
        <f>IF(wskakunin_koutei_izen01_INTER_ISSUE_NO="","",wskakunin_koutei_izen01_INTER_ISSUE_NO)</f>
        <v/>
      </c>
    </row>
    <row r="1216" spans="1:7" ht="15" customHeight="1">
      <c r="A1216" s="201"/>
      <c r="B1216" s="116" t="s">
        <v>736</v>
      </c>
      <c r="C1216" s="14" t="s">
        <v>1384</v>
      </c>
      <c r="D1216" s="263"/>
      <c r="E1216" s="14" t="s">
        <v>2371</v>
      </c>
      <c r="F1216" s="263" t="str">
        <f>IF(wskakunin_koutei_izen01_INTER_ISSUE_DATE="","",wskakunin_koutei_izen01_INTER_ISSUE_DATE)</f>
        <v/>
      </c>
    </row>
    <row r="1217" spans="1:6" ht="15" customHeight="1">
      <c r="A1217" s="202"/>
      <c r="B1217" s="75" t="s">
        <v>3209</v>
      </c>
      <c r="E1217" s="14" t="s">
        <v>3210</v>
      </c>
      <c r="F1217" s="488" t="str">
        <f>IF(COUNTIF(D1212:D1216,"&lt;&gt;")&gt;0,"有","無")</f>
        <v>無</v>
      </c>
    </row>
    <row r="1218" spans="1:6" ht="15" customHeight="1">
      <c r="A1218" s="201" t="s">
        <v>1274</v>
      </c>
      <c r="B1218" s="155"/>
    </row>
    <row r="1219" spans="1:6" ht="15" customHeight="1">
      <c r="A1219" s="201"/>
      <c r="B1219" s="75" t="s">
        <v>718</v>
      </c>
      <c r="C1219" s="14" t="s">
        <v>1385</v>
      </c>
      <c r="D1219" s="241"/>
      <c r="E1219" s="14" t="s">
        <v>2385</v>
      </c>
      <c r="F1219" s="44" t="str">
        <f>IF(wskakunin_koutei_izen02_KOUTEI_KAISUU="","",wskakunin_koutei_izen02_KOUTEI_KAISUU)</f>
        <v/>
      </c>
    </row>
    <row r="1220" spans="1:6" ht="15" customHeight="1">
      <c r="A1220" s="201"/>
      <c r="B1220" s="74" t="s">
        <v>645</v>
      </c>
      <c r="C1220" s="14" t="s">
        <v>1386</v>
      </c>
      <c r="D1220" s="241"/>
      <c r="E1220" s="14" t="s">
        <v>2386</v>
      </c>
      <c r="F1220" s="44" t="str">
        <f>IF(wskakunin_koutei_izen02_KOUTEI_TEXT="","",wskakunin_koutei_izen02_KOUTEI_TEXT)</f>
        <v/>
      </c>
    </row>
    <row r="1221" spans="1:6" ht="15" customHeight="1">
      <c r="A1221" s="201"/>
      <c r="B1221" s="116" t="s">
        <v>734</v>
      </c>
      <c r="C1221" s="14" t="s">
        <v>1387</v>
      </c>
      <c r="D1221" s="241"/>
      <c r="E1221" s="14" t="s">
        <v>2387</v>
      </c>
      <c r="F1221" s="44" t="str">
        <f>IF(wskakunin_koutei_izen02_INTER_ISSUE_NAME="","",wskakunin_koutei_izen02_INTER_ISSUE_NAME)</f>
        <v/>
      </c>
    </row>
    <row r="1222" spans="1:6" ht="15" customHeight="1">
      <c r="A1222" s="201"/>
      <c r="B1222" s="116" t="s">
        <v>735</v>
      </c>
      <c r="C1222" s="14" t="s">
        <v>1388</v>
      </c>
      <c r="D1222" s="241"/>
      <c r="E1222" s="14" t="s">
        <v>2388</v>
      </c>
      <c r="F1222" s="44" t="str">
        <f>IF(wskakunin_koutei_izen02_INTER_ISSUE_NO="","",wskakunin_koutei_izen02_INTER_ISSUE_NO)</f>
        <v/>
      </c>
    </row>
    <row r="1223" spans="1:6" ht="15" customHeight="1">
      <c r="A1223" s="201"/>
      <c r="B1223" s="116" t="s">
        <v>736</v>
      </c>
      <c r="C1223" s="14" t="s">
        <v>1389</v>
      </c>
      <c r="D1223" s="263"/>
      <c r="E1223" s="14" t="s">
        <v>2389</v>
      </c>
      <c r="F1223" s="263" t="str">
        <f>IF(wskakunin_koutei_izen02_INTER_ISSUE_DATE="","",wskakunin_koutei_izen02_INTER_ISSUE_DATE)</f>
        <v/>
      </c>
    </row>
    <row r="1224" spans="1:6" ht="15" customHeight="1">
      <c r="A1224" s="201"/>
      <c r="B1224" s="75"/>
    </row>
    <row r="1225" spans="1:6" ht="15" customHeight="1">
      <c r="A1225" s="200" t="s">
        <v>1278</v>
      </c>
      <c r="B1225" s="183"/>
    </row>
    <row r="1226" spans="1:6" ht="15" customHeight="1">
      <c r="A1226" s="201"/>
      <c r="B1226" s="75" t="s">
        <v>718</v>
      </c>
      <c r="C1226" s="14" t="s">
        <v>2457</v>
      </c>
      <c r="D1226" s="241"/>
      <c r="E1226" s="14" t="s">
        <v>2467</v>
      </c>
      <c r="F1226" s="44" t="str">
        <f>IF(wskakunin_koutei_izen03_KOUTEI_KAISUU="","",wskakunin_koutei_izen03_KOUTEI_KAISUU)</f>
        <v/>
      </c>
    </row>
    <row r="1227" spans="1:6" ht="15" customHeight="1">
      <c r="A1227" s="201"/>
      <c r="B1227" s="74" t="s">
        <v>645</v>
      </c>
      <c r="C1227" s="14" t="s">
        <v>2458</v>
      </c>
      <c r="D1227" s="241"/>
      <c r="E1227" s="14" t="s">
        <v>2468</v>
      </c>
      <c r="F1227" s="44" t="str">
        <f>IF(wskakunin_koutei_izen03_KOUTEI_TEXT="","",wskakunin_koutei_izen03_KOUTEI_TEXT)</f>
        <v/>
      </c>
    </row>
    <row r="1228" spans="1:6" ht="15" customHeight="1">
      <c r="A1228" s="201"/>
      <c r="B1228" s="116" t="s">
        <v>734</v>
      </c>
      <c r="C1228" s="14" t="s">
        <v>2459</v>
      </c>
      <c r="D1228" s="241"/>
      <c r="E1228" s="14" t="s">
        <v>2469</v>
      </c>
      <c r="F1228" s="44" t="str">
        <f>IF(wskakunin_koutei_izen03_INTER_ISSUE_NAME="","",wskakunin_koutei_izen03_INTER_ISSUE_NAME)</f>
        <v/>
      </c>
    </row>
    <row r="1229" spans="1:6" ht="15" customHeight="1">
      <c r="A1229" s="201"/>
      <c r="B1229" s="116" t="s">
        <v>735</v>
      </c>
      <c r="C1229" s="14" t="s">
        <v>2460</v>
      </c>
      <c r="D1229" s="241"/>
      <c r="E1229" s="14" t="s">
        <v>2470</v>
      </c>
      <c r="F1229" s="44" t="str">
        <f>IF(wskakunin_koutei_izen03_INTER_ISSUE_NO="","",wskakunin_koutei_izen03_INTER_ISSUE_NO)</f>
        <v/>
      </c>
    </row>
    <row r="1230" spans="1:6" ht="15" customHeight="1">
      <c r="A1230" s="201"/>
      <c r="B1230" s="116" t="s">
        <v>736</v>
      </c>
      <c r="C1230" s="14" t="s">
        <v>2461</v>
      </c>
      <c r="D1230" s="261"/>
      <c r="E1230" s="14" t="s">
        <v>2471</v>
      </c>
      <c r="F1230" s="261" t="str">
        <f>IF(wskakunin_koutei_izen03_INTER_ISSUE_DATE="","",wskakunin_koutei_izen03_INTER_ISSUE_DATE)</f>
        <v/>
      </c>
    </row>
    <row r="1231" spans="1:6" ht="15" customHeight="1">
      <c r="A1231" s="202"/>
      <c r="B1231" s="75"/>
    </row>
    <row r="1232" spans="1:6" ht="15" customHeight="1">
      <c r="A1232" s="200" t="s">
        <v>2456</v>
      </c>
      <c r="B1232" s="183"/>
    </row>
    <row r="1233" spans="1:7" ht="15" customHeight="1">
      <c r="A1233" s="201"/>
      <c r="B1233" s="75" t="s">
        <v>718</v>
      </c>
      <c r="C1233" s="14" t="s">
        <v>2462</v>
      </c>
      <c r="D1233" s="241"/>
      <c r="E1233" s="14" t="s">
        <v>2472</v>
      </c>
      <c r="F1233" s="44" t="str">
        <f>IF(wskakunin_koutei_izen04_KOUTEI_KAISUU="","",wskakunin_koutei_izen04_KOUTEI_KAISUU)</f>
        <v/>
      </c>
    </row>
    <row r="1234" spans="1:7" ht="15" customHeight="1">
      <c r="A1234" s="201"/>
      <c r="B1234" s="74" t="s">
        <v>645</v>
      </c>
      <c r="C1234" s="14" t="s">
        <v>2463</v>
      </c>
      <c r="D1234" s="241"/>
      <c r="E1234" s="14" t="s">
        <v>2473</v>
      </c>
      <c r="F1234" s="44" t="str">
        <f>IF(wskakunin_koutei_izen04_KOUTEI_TEXT="","",wskakunin_koutei_izen04_KOUTEI_TEXT)</f>
        <v/>
      </c>
    </row>
    <row r="1235" spans="1:7" ht="15" customHeight="1">
      <c r="A1235" s="201"/>
      <c r="B1235" s="116" t="s">
        <v>734</v>
      </c>
      <c r="C1235" s="14" t="s">
        <v>2464</v>
      </c>
      <c r="D1235" s="241"/>
      <c r="E1235" s="14" t="s">
        <v>2474</v>
      </c>
      <c r="F1235" s="44" t="str">
        <f>IF(wskakunin_koutei_izen04_INTER_ISSUE_NAME="","",wskakunin_koutei_izen04_INTER_ISSUE_NAME)</f>
        <v/>
      </c>
    </row>
    <row r="1236" spans="1:7" ht="15" customHeight="1">
      <c r="A1236" s="201"/>
      <c r="B1236" s="116" t="s">
        <v>735</v>
      </c>
      <c r="C1236" s="14" t="s">
        <v>2465</v>
      </c>
      <c r="D1236" s="241"/>
      <c r="E1236" s="14" t="s">
        <v>2475</v>
      </c>
      <c r="F1236" s="44" t="str">
        <f>IF(wskakunin_koutei_izen04_INTER_ISSUE_NO="","",wskakunin_koutei_izen04_INTER_ISSUE_NO)</f>
        <v/>
      </c>
    </row>
    <row r="1237" spans="1:7" ht="15" customHeight="1">
      <c r="A1237" s="201"/>
      <c r="B1237" s="116" t="s">
        <v>736</v>
      </c>
      <c r="C1237" s="14" t="s">
        <v>2466</v>
      </c>
      <c r="D1237" s="261"/>
      <c r="E1237" s="14" t="s">
        <v>2476</v>
      </c>
      <c r="F1237" s="261" t="str">
        <f>IF(wskakunin_koutei_izen04_INTER_ISSUE_DATE="","",wskakunin_koutei_izen04_INTER_ISSUE_DATE)</f>
        <v/>
      </c>
    </row>
    <row r="1238" spans="1:7" ht="15" customHeight="1">
      <c r="A1238" s="202"/>
      <c r="B1238" s="75"/>
    </row>
    <row r="1239" spans="1:7" ht="15" customHeight="1">
      <c r="A1239" s="200" t="s">
        <v>2477</v>
      </c>
      <c r="B1239" s="183" t="s">
        <v>2446</v>
      </c>
      <c r="G1239" s="14" t="s">
        <v>2346</v>
      </c>
    </row>
    <row r="1240" spans="1:7" ht="15" customHeight="1">
      <c r="A1240" s="201"/>
      <c r="B1240" s="75" t="s">
        <v>2351</v>
      </c>
      <c r="E1240" s="14" t="s">
        <v>2372</v>
      </c>
      <c r="F1240" s="44" t="str">
        <f ca="1">IF(chk_JOB_KIND_kakunin=1,"",cst_wskakunin_koutei_izen01_KOUTEI_KAISUU)</f>
        <v/>
      </c>
    </row>
    <row r="1241" spans="1:7" ht="15" customHeight="1">
      <c r="A1241" s="201"/>
      <c r="B1241" s="74" t="s">
        <v>2352</v>
      </c>
      <c r="E1241" s="14" t="s">
        <v>2373</v>
      </c>
      <c r="F1241" s="44" t="str">
        <f ca="1">IF(chk_JOB_KIND_kakunin=1,"",cst_wskakunin_koutei_izen01_KOUTEI_TEXT)</f>
        <v/>
      </c>
    </row>
    <row r="1242" spans="1:7" ht="15" customHeight="1">
      <c r="A1242" s="201"/>
      <c r="B1242" s="116" t="s">
        <v>2353</v>
      </c>
      <c r="E1242" s="14" t="s">
        <v>2376</v>
      </c>
      <c r="F1242" s="44" t="str">
        <f ca="1">IF(chk_JOB_KIND_kakunin=1,"",cst_wskakunin_koutei_izen01_INTER_ISSUE_NAME)</f>
        <v/>
      </c>
    </row>
    <row r="1243" spans="1:7" ht="15" customHeight="1">
      <c r="A1243" s="201"/>
      <c r="B1243" s="116" t="s">
        <v>2354</v>
      </c>
      <c r="E1243" s="14" t="s">
        <v>2374</v>
      </c>
      <c r="F1243" s="44" t="str">
        <f ca="1">IF(chk_JOB_KIND_kakunin=1,"",cst_wskakunin_koutei_izen01_INTER_ISSUE_NO)</f>
        <v/>
      </c>
    </row>
    <row r="1244" spans="1:7" ht="15" customHeight="1">
      <c r="A1244" s="201"/>
      <c r="B1244" s="116" t="s">
        <v>2355</v>
      </c>
      <c r="E1244" s="14" t="s">
        <v>2375</v>
      </c>
      <c r="F1244" s="263" t="str">
        <f ca="1">IF(chk_JOB_KIND_kakunin=1,"",cst_wskakunin_koutei_izen01_INTER_ISSUE_DATE)</f>
        <v/>
      </c>
    </row>
    <row r="1245" spans="1:7" ht="15" customHeight="1">
      <c r="A1245" s="201"/>
      <c r="B1245" s="75"/>
    </row>
    <row r="1246" spans="1:7" ht="15" customHeight="1">
      <c r="A1246" s="200" t="s">
        <v>2477</v>
      </c>
      <c r="B1246" s="183" t="s">
        <v>2447</v>
      </c>
      <c r="G1246" s="14" t="s">
        <v>2382</v>
      </c>
    </row>
    <row r="1247" spans="1:7" ht="15" customHeight="1">
      <c r="A1247" s="201"/>
      <c r="B1247" s="75" t="s">
        <v>2351</v>
      </c>
      <c r="E1247" s="14" t="s">
        <v>2377</v>
      </c>
      <c r="F1247" s="44" t="str">
        <f ca="1">IF(chk_INTER1_state_in_conf=1,cst_wskakunin_koutei01_KOUTEI_KAISUU,"")</f>
        <v/>
      </c>
    </row>
    <row r="1248" spans="1:7" ht="15" customHeight="1">
      <c r="A1248" s="201"/>
      <c r="B1248" s="74" t="s">
        <v>2352</v>
      </c>
      <c r="E1248" s="14" t="s">
        <v>2378</v>
      </c>
      <c r="F1248" s="44" t="str">
        <f ca="1">IF(chk_INTER1_state_in_conf=1,cst_wskakunin_koutei01_KOUTEI_TEXT,"")</f>
        <v/>
      </c>
    </row>
    <row r="1249" spans="1:7" ht="15" customHeight="1">
      <c r="A1249" s="201"/>
      <c r="B1249" s="116" t="s">
        <v>2353</v>
      </c>
      <c r="E1249" s="14" t="s">
        <v>2379</v>
      </c>
      <c r="F1249" s="44" t="str">
        <f ca="1">IF(chk_INTER1_state_in_conf=1,cst_wskakunin_KIKAN_NAME,"")</f>
        <v/>
      </c>
    </row>
    <row r="1250" spans="1:7" ht="15" customHeight="1">
      <c r="A1250" s="201"/>
      <c r="B1250" s="116" t="s">
        <v>2354</v>
      </c>
      <c r="E1250" s="14" t="s">
        <v>2380</v>
      </c>
      <c r="F1250" s="44" t="str">
        <f ca="1">IF(chk_INTER1_state_in_conf=1,"第   KAK建合        号","")</f>
        <v/>
      </c>
    </row>
    <row r="1251" spans="1:7" ht="15" customHeight="1">
      <c r="A1251" s="201"/>
      <c r="B1251" s="116" t="s">
        <v>2355</v>
      </c>
      <c r="E1251" s="14" t="s">
        <v>2381</v>
      </c>
      <c r="F1251" s="263" t="str">
        <f ca="1">IF(chk_INTER1_state_in_conf=1,"","")</f>
        <v/>
      </c>
    </row>
    <row r="1252" spans="1:7" ht="15" customHeight="1">
      <c r="A1252" s="202"/>
      <c r="B1252" s="75"/>
    </row>
    <row r="1253" spans="1:7" ht="15" customHeight="1">
      <c r="A1253" s="200" t="s">
        <v>2478</v>
      </c>
      <c r="B1253" s="183" t="s">
        <v>2446</v>
      </c>
      <c r="G1253" s="14" t="s">
        <v>2346</v>
      </c>
    </row>
    <row r="1254" spans="1:7" ht="15" customHeight="1">
      <c r="A1254" s="201"/>
      <c r="B1254" s="75" t="s">
        <v>2351</v>
      </c>
      <c r="E1254" s="14" t="s">
        <v>2479</v>
      </c>
      <c r="F1254" s="44" t="str">
        <f ca="1">IF(chk_JOB_KIND_kakunin=1,"",cst_wskakunin_koutei_izen02_KOUTEI_KAISUU)</f>
        <v/>
      </c>
    </row>
    <row r="1255" spans="1:7" ht="15" customHeight="1">
      <c r="A1255" s="201"/>
      <c r="B1255" s="74" t="s">
        <v>2352</v>
      </c>
      <c r="E1255" s="14" t="s">
        <v>2480</v>
      </c>
      <c r="F1255" s="44" t="str">
        <f ca="1">IF(chk_JOB_KIND_kakunin=1,"",cst_wskakunin_koutei_izen02_KOUTEI_TEXT)</f>
        <v/>
      </c>
    </row>
    <row r="1256" spans="1:7" ht="15" customHeight="1">
      <c r="A1256" s="201"/>
      <c r="B1256" s="116" t="s">
        <v>2353</v>
      </c>
      <c r="E1256" s="14" t="s">
        <v>2481</v>
      </c>
      <c r="F1256" s="44" t="str">
        <f ca="1">IF(chk_JOB_KIND_kakunin=1,"",cst_wskakunin_koutei_izen02_INTER_ISSUE_NAME)</f>
        <v/>
      </c>
    </row>
    <row r="1257" spans="1:7" ht="15" customHeight="1">
      <c r="A1257" s="201"/>
      <c r="B1257" s="116" t="s">
        <v>2354</v>
      </c>
      <c r="E1257" s="14" t="s">
        <v>2482</v>
      </c>
      <c r="F1257" s="44" t="str">
        <f ca="1">IF(chk_JOB_KIND_kakunin=1,"",cst_wskakunin_koutei_izen02_INTER_ISSUE_NO)</f>
        <v/>
      </c>
    </row>
    <row r="1258" spans="1:7" ht="15" customHeight="1">
      <c r="A1258" s="201"/>
      <c r="B1258" s="116" t="s">
        <v>2355</v>
      </c>
      <c r="E1258" s="14" t="s">
        <v>2483</v>
      </c>
      <c r="F1258" s="263" t="str">
        <f ca="1">IF(chk_JOB_KIND_kakunin=1,"",cst_wskakunin_koutei_izen02_INTER_ISSUE_DATE)</f>
        <v/>
      </c>
    </row>
    <row r="1259" spans="1:7" ht="15" customHeight="1">
      <c r="A1259" s="201"/>
      <c r="B1259" s="75"/>
    </row>
    <row r="1260" spans="1:7" ht="15" customHeight="1">
      <c r="A1260" s="200" t="s">
        <v>2478</v>
      </c>
      <c r="B1260" s="183" t="s">
        <v>2447</v>
      </c>
      <c r="G1260" s="14" t="s">
        <v>2346</v>
      </c>
    </row>
    <row r="1261" spans="1:7" ht="15" customHeight="1">
      <c r="A1261" s="201"/>
      <c r="B1261" s="75" t="s">
        <v>2351</v>
      </c>
      <c r="E1261" s="14" t="s">
        <v>2484</v>
      </c>
      <c r="F1261" s="44" t="str">
        <f ca="1">IF(chk_INTER1_state_in_conf=1,"","")</f>
        <v/>
      </c>
    </row>
    <row r="1262" spans="1:7" ht="15" customHeight="1">
      <c r="A1262" s="201"/>
      <c r="B1262" s="74" t="s">
        <v>2352</v>
      </c>
      <c r="E1262" s="14" t="s">
        <v>2485</v>
      </c>
      <c r="F1262" s="44" t="str">
        <f ca="1">IF(chk_INTER1_state_in_conf=1,"","")</f>
        <v/>
      </c>
    </row>
    <row r="1263" spans="1:7" ht="15" customHeight="1">
      <c r="A1263" s="201"/>
      <c r="B1263" s="116" t="s">
        <v>2353</v>
      </c>
      <c r="E1263" s="14" t="s">
        <v>2486</v>
      </c>
      <c r="F1263" s="44" t="str">
        <f ca="1">IF(chk_INTER1_state_in_conf=1,"","")</f>
        <v/>
      </c>
    </row>
    <row r="1264" spans="1:7" ht="15" customHeight="1">
      <c r="A1264" s="201"/>
      <c r="B1264" s="116" t="s">
        <v>2354</v>
      </c>
      <c r="E1264" s="14" t="s">
        <v>2487</v>
      </c>
      <c r="F1264" s="44" t="str">
        <f ca="1">IF(chk_INTER1_state_in_conf=1,"","")</f>
        <v/>
      </c>
    </row>
    <row r="1265" spans="1:7" ht="15" customHeight="1">
      <c r="A1265" s="201"/>
      <c r="B1265" s="116" t="s">
        <v>2355</v>
      </c>
      <c r="E1265" s="14" t="s">
        <v>2488</v>
      </c>
      <c r="F1265" s="263" t="str">
        <f ca="1">IF(chk_INTER1_state_in_conf=1,"","")</f>
        <v/>
      </c>
    </row>
    <row r="1266" spans="1:7" ht="15" customHeight="1">
      <c r="A1266" s="202"/>
      <c r="B1266" s="75"/>
    </row>
    <row r="1267" spans="1:7" ht="15" customHeight="1">
      <c r="A1267" s="189" t="s">
        <v>737</v>
      </c>
      <c r="B1267" s="110"/>
    </row>
    <row r="1268" spans="1:7" ht="15" customHeight="1">
      <c r="A1268" s="200" t="s">
        <v>1267</v>
      </c>
      <c r="B1268" s="183"/>
    </row>
    <row r="1269" spans="1:7" ht="15" customHeight="1">
      <c r="A1269" s="201"/>
      <c r="B1269" s="75" t="s">
        <v>718</v>
      </c>
      <c r="C1269" s="14" t="s">
        <v>1390</v>
      </c>
      <c r="D1269" s="241"/>
      <c r="E1269" s="14" t="s">
        <v>2392</v>
      </c>
      <c r="F1269" s="44" t="str">
        <f>IF(wskakunin_koutei_ikou01_KOUTEI_KAISUU="","",wskakunin_koutei_ikou01_KOUTEI_KAISUU)</f>
        <v/>
      </c>
    </row>
    <row r="1270" spans="1:7" ht="15" customHeight="1">
      <c r="A1270" s="201"/>
      <c r="B1270" s="74" t="s">
        <v>645</v>
      </c>
      <c r="C1270" s="14" t="s">
        <v>1391</v>
      </c>
      <c r="D1270" s="241"/>
      <c r="E1270" s="14" t="s">
        <v>2393</v>
      </c>
      <c r="F1270" s="44" t="str">
        <f>IF(wskakunin_koutei_ikou01_KOUTEI_TEXT="","",wskakunin_koutei_ikou01_KOUTEI_TEXT)</f>
        <v/>
      </c>
    </row>
    <row r="1271" spans="1:7" ht="15" customHeight="1">
      <c r="A1271" s="201"/>
      <c r="B1271" s="74" t="s">
        <v>738</v>
      </c>
      <c r="C1271" s="14" t="s">
        <v>1392</v>
      </c>
      <c r="D1271" s="263"/>
      <c r="E1271" s="14" t="s">
        <v>2394</v>
      </c>
      <c r="F1271" s="263" t="str">
        <f>IF(wskakunin_koutei_ikou01_KOUTEI_DATE="","",wskakunin_koutei_ikou01_KOUTEI_DATE)</f>
        <v/>
      </c>
    </row>
    <row r="1272" spans="1:7" ht="15" customHeight="1">
      <c r="A1272" s="202"/>
      <c r="B1272" s="75"/>
    </row>
    <row r="1273" spans="1:7" ht="15" customHeight="1">
      <c r="A1273" s="200" t="s">
        <v>2455</v>
      </c>
      <c r="B1273" s="183"/>
    </row>
    <row r="1274" spans="1:7" ht="15" customHeight="1">
      <c r="A1274" s="201"/>
      <c r="B1274" s="75" t="s">
        <v>718</v>
      </c>
      <c r="C1274" s="14" t="s">
        <v>1393</v>
      </c>
      <c r="D1274" s="241"/>
      <c r="E1274" s="14" t="s">
        <v>2402</v>
      </c>
      <c r="F1274" s="44" t="str">
        <f>IF(wskakunin_koutei_ikou02_KOUTEI_KAISUU="","",wskakunin_koutei_ikou02_KOUTEI_KAISUU)</f>
        <v/>
      </c>
    </row>
    <row r="1275" spans="1:7" ht="15" customHeight="1">
      <c r="A1275" s="201"/>
      <c r="B1275" s="74" t="s">
        <v>645</v>
      </c>
      <c r="C1275" s="14" t="s">
        <v>1394</v>
      </c>
      <c r="D1275" s="241"/>
      <c r="E1275" s="14" t="s">
        <v>2403</v>
      </c>
      <c r="F1275" s="44" t="str">
        <f>IF(wskakunin_koutei_ikou02_KOUTEI_TEXT="","",wskakunin_koutei_ikou02_KOUTEI_TEXT)</f>
        <v/>
      </c>
    </row>
    <row r="1276" spans="1:7" ht="15" customHeight="1">
      <c r="A1276" s="201"/>
      <c r="B1276" s="74" t="s">
        <v>738</v>
      </c>
      <c r="C1276" s="14" t="s">
        <v>1395</v>
      </c>
      <c r="D1276" s="263"/>
      <c r="E1276" s="14" t="s">
        <v>2404</v>
      </c>
      <c r="F1276" s="263" t="str">
        <f>IF(wskakunin_koutei_ikou02_KOUTEI_DATE="","",wskakunin_koutei_ikou02_KOUTEI_DATE)</f>
        <v/>
      </c>
    </row>
    <row r="1277" spans="1:7" ht="15" customHeight="1">
      <c r="A1277" s="202"/>
      <c r="B1277" s="75"/>
    </row>
    <row r="1278" spans="1:7" ht="15" customHeight="1">
      <c r="A1278" s="200" t="s">
        <v>2489</v>
      </c>
      <c r="B1278" s="183" t="s">
        <v>2446</v>
      </c>
      <c r="G1278" s="14" t="s">
        <v>2347</v>
      </c>
    </row>
    <row r="1279" spans="1:7" ht="15" customHeight="1">
      <c r="A1279" s="201"/>
      <c r="B1279" s="75" t="s">
        <v>2351</v>
      </c>
      <c r="E1279" s="14" t="s">
        <v>2407</v>
      </c>
      <c r="F1279" s="44" t="str">
        <f ca="1">IF(chk_INTER2_state_in_conf=1,cst_wskakunin_koutei02_KOUTEI_KAISUU,cst_wskakunin_koutei_ikou01_KOUTEI_KAISUU)</f>
        <v/>
      </c>
    </row>
    <row r="1280" spans="1:7" ht="15" customHeight="1">
      <c r="A1280" s="201"/>
      <c r="B1280" s="74" t="s">
        <v>2352</v>
      </c>
      <c r="E1280" s="14" t="s">
        <v>2408</v>
      </c>
      <c r="F1280" s="44" t="str">
        <f ca="1">IF(chk_INTER2_state_in_conf=1,cst_wskakunin_koutei02_KOUTEI_TEXT,cst_wskakunin_koutei_ikou01_KOUTEI_TEXT)</f>
        <v/>
      </c>
    </row>
    <row r="1281" spans="1:7" ht="15" customHeight="1">
      <c r="A1281" s="201"/>
      <c r="B1281" s="74" t="s">
        <v>2391</v>
      </c>
      <c r="E1281" s="14" t="s">
        <v>2395</v>
      </c>
      <c r="F1281" s="263" t="str">
        <f ca="1">IF(chk_INTER2_state_in_conf=1,cst_wskakunin_koutei02_KOUTEI_DATE,cst_wskakunin_koutei_ikou01_KOUTEI_DATE)</f>
        <v/>
      </c>
    </row>
    <row r="1282" spans="1:7" ht="15" customHeight="1">
      <c r="A1282" s="202"/>
      <c r="B1282" s="75"/>
    </row>
    <row r="1283" spans="1:7" ht="15" customHeight="1">
      <c r="A1283" s="200" t="s">
        <v>2489</v>
      </c>
      <c r="B1283" s="155" t="s">
        <v>2447</v>
      </c>
      <c r="G1283" s="14" t="s">
        <v>2390</v>
      </c>
    </row>
    <row r="1284" spans="1:7" ht="15" customHeight="1">
      <c r="A1284" s="201"/>
      <c r="B1284" s="75" t="s">
        <v>2351</v>
      </c>
      <c r="E1284" s="14" t="s">
        <v>2409</v>
      </c>
      <c r="F1284" s="44" t="str">
        <f ca="1">IF(chk_INTER3_state_in_conf=1,cst_wskakunin_koutei03_KOUTEI_KAISUU,"")</f>
        <v/>
      </c>
    </row>
    <row r="1285" spans="1:7" ht="15" customHeight="1">
      <c r="A1285" s="201"/>
      <c r="B1285" s="74" t="s">
        <v>2352</v>
      </c>
      <c r="E1285" s="14" t="s">
        <v>2396</v>
      </c>
      <c r="F1285" s="44" t="str">
        <f ca="1">IF(chk_INTER3_state_in_conf=1,cst_wskakunin_koutei03_KOUTEI_TEXT,"")</f>
        <v/>
      </c>
    </row>
    <row r="1286" spans="1:7" ht="15" customHeight="1">
      <c r="A1286" s="201"/>
      <c r="B1286" s="74" t="s">
        <v>2391</v>
      </c>
      <c r="E1286" s="14" t="s">
        <v>2397</v>
      </c>
      <c r="F1286" s="263" t="str">
        <f ca="1">IF(chk_INTER3_state_in_conf=1,cst_wskakunin_koutei03_KOUTEI_DATE,"")</f>
        <v/>
      </c>
    </row>
    <row r="1287" spans="1:7" ht="15" customHeight="1">
      <c r="A1287" s="202"/>
      <c r="B1287" s="75"/>
    </row>
    <row r="1288" spans="1:7" ht="15" customHeight="1">
      <c r="A1288" s="200" t="s">
        <v>2490</v>
      </c>
      <c r="B1288" s="183" t="s">
        <v>2446</v>
      </c>
      <c r="G1288" s="14" t="s">
        <v>2400</v>
      </c>
    </row>
    <row r="1289" spans="1:7" ht="15" customHeight="1">
      <c r="A1289" s="201"/>
      <c r="B1289" s="75" t="s">
        <v>2351</v>
      </c>
      <c r="E1289" s="14" t="s">
        <v>2410</v>
      </c>
      <c r="F1289" s="44" t="str">
        <f ca="1">IF(chk_INTER2_state_in_conf=1,cst_wskakunin_koutei02_KOUTEI_KAISUU,cst_wskakunin_koutei_ikou02_KOUTEI_KAISUU)</f>
        <v/>
      </c>
    </row>
    <row r="1290" spans="1:7" ht="15" customHeight="1">
      <c r="A1290" s="201"/>
      <c r="B1290" s="74" t="s">
        <v>2352</v>
      </c>
      <c r="E1290" s="14" t="s">
        <v>2411</v>
      </c>
      <c r="F1290" s="44" t="str">
        <f ca="1">IF(chk_INTER2_state_in_conf=1,cst_wskakunin_koutei02_KOUTEI_TEXT,cst_wskakunin_koutei_ikou02_KOUTEI_TEXT)</f>
        <v/>
      </c>
    </row>
    <row r="1291" spans="1:7" ht="15" customHeight="1">
      <c r="A1291" s="201"/>
      <c r="B1291" s="74" t="s">
        <v>2391</v>
      </c>
      <c r="E1291" s="14" t="s">
        <v>2398</v>
      </c>
      <c r="F1291" s="263" t="str">
        <f ca="1">IF(chk_INTER2_state_in_conf=1,cst_wskakunin_koutei02_KOUTEI_DATE,cst_wskakunin_koutei_ikou02_KOUTEI_DATE)</f>
        <v/>
      </c>
    </row>
    <row r="1292" spans="1:7" ht="15" customHeight="1">
      <c r="A1292" s="202"/>
      <c r="B1292" s="75"/>
    </row>
    <row r="1293" spans="1:7" ht="15" customHeight="1">
      <c r="A1293" s="200" t="s">
        <v>2490</v>
      </c>
      <c r="B1293" s="155" t="s">
        <v>2447</v>
      </c>
      <c r="G1293" s="14" t="s">
        <v>2401</v>
      </c>
    </row>
    <row r="1294" spans="1:7" ht="15" customHeight="1">
      <c r="A1294" s="201"/>
      <c r="B1294" s="75" t="s">
        <v>2351</v>
      </c>
      <c r="E1294" s="14" t="s">
        <v>2412</v>
      </c>
      <c r="F1294" s="44" t="str">
        <f ca="1">IF(chk_INTER3_state_in_conf=1,cst_wskakunin_koutei03_KOUTEI_KAISUU,"")</f>
        <v/>
      </c>
    </row>
    <row r="1295" spans="1:7" ht="15" customHeight="1">
      <c r="A1295" s="201"/>
      <c r="B1295" s="74" t="s">
        <v>2352</v>
      </c>
      <c r="E1295" s="14" t="s">
        <v>2399</v>
      </c>
      <c r="F1295" s="44" t="str">
        <f ca="1">IF(chk_INTER3_state_in_conf=1,cst_wskakunin_koutei03_KOUTEI_TEXT,"")</f>
        <v/>
      </c>
    </row>
    <row r="1296" spans="1:7" ht="15" customHeight="1">
      <c r="A1296" s="201"/>
      <c r="B1296" s="74" t="s">
        <v>2391</v>
      </c>
      <c r="E1296" s="14" t="s">
        <v>2413</v>
      </c>
      <c r="F1296" s="263" t="str">
        <f ca="1">IF(chk_INTER3_state_in_conf=1,cst_wskakunin_koutei03_KOUTEI_DATE,"")</f>
        <v/>
      </c>
    </row>
    <row r="1297" spans="1:7" ht="15" customHeight="1">
      <c r="A1297" s="203"/>
      <c r="B1297" s="188"/>
    </row>
    <row r="1298" spans="1:7" ht="15" customHeight="1">
      <c r="A1298" s="185" t="s">
        <v>739</v>
      </c>
      <c r="B1298" s="49"/>
      <c r="C1298" s="496" t="s">
        <v>2266</v>
      </c>
    </row>
    <row r="1299" spans="1:7" ht="15" customHeight="1">
      <c r="A1299" s="50"/>
      <c r="B1299" s="80" t="s">
        <v>740</v>
      </c>
      <c r="C1299" s="14" t="s">
        <v>2267</v>
      </c>
      <c r="D1299" s="241"/>
      <c r="E1299" s="14" t="s">
        <v>2405</v>
      </c>
      <c r="F1299" s="44" t="str">
        <f>IF(wskakunin_keibi_henkou01_HENKOU_SYURUI="","",wskakunin_keibi_henkou01_HENKOU_SYURUI)</f>
        <v/>
      </c>
    </row>
    <row r="1300" spans="1:7" ht="15" customHeight="1">
      <c r="A1300" s="50"/>
      <c r="B1300" s="80" t="s">
        <v>741</v>
      </c>
      <c r="C1300" s="14" t="s">
        <v>2268</v>
      </c>
      <c r="D1300" s="241"/>
      <c r="E1300" s="14" t="s">
        <v>2406</v>
      </c>
      <c r="F1300" s="44" t="str">
        <f>IF(wskakunin_keibi_henkou01_HENKOU_GAIYOU="","",wskakunin_keibi_henkou01_HENKOU_GAIYOU)</f>
        <v/>
      </c>
    </row>
    <row r="1301" spans="1:7" ht="15" customHeight="1">
      <c r="A1301" s="179"/>
      <c r="B1301" s="188"/>
      <c r="C1301" s="17"/>
    </row>
    <row r="1302" spans="1:7" ht="15" customHeight="1">
      <c r="A1302" s="181" t="s">
        <v>1291</v>
      </c>
      <c r="B1302" s="107" t="s">
        <v>118</v>
      </c>
      <c r="F1302" s="14" t="s">
        <v>2417</v>
      </c>
      <c r="G1302" s="14" t="s">
        <v>2416</v>
      </c>
    </row>
    <row r="1303" spans="1:7" ht="15" customHeight="1">
      <c r="A1303" s="185" t="s">
        <v>2752</v>
      </c>
      <c r="B1303" s="187"/>
      <c r="C1303" s="14" t="s">
        <v>2345</v>
      </c>
      <c r="D1303" s="263"/>
      <c r="E1303" s="14" t="s">
        <v>2361</v>
      </c>
      <c r="F1303" s="263" t="str">
        <f ca="1">IF(chk_JOB_KIND_kakunin=1,"",IF(wskakunin_KOUJI_KANRYOU_DATE="","",wskakunin_KOUJI_KANRYOU_DATE))</f>
        <v/>
      </c>
      <c r="G1303" s="14" t="s">
        <v>2346</v>
      </c>
    </row>
    <row r="1304" spans="1:7" ht="15" customHeight="1">
      <c r="A1304" s="89" t="s">
        <v>2419</v>
      </c>
      <c r="B1304" s="110"/>
    </row>
    <row r="1305" spans="1:7" ht="15" customHeight="1">
      <c r="A1305" s="182" t="s">
        <v>2421</v>
      </c>
      <c r="B1305" s="183" t="s">
        <v>2436</v>
      </c>
    </row>
    <row r="1306" spans="1:7" ht="15" customHeight="1">
      <c r="A1306" s="50"/>
      <c r="B1306" s="75" t="s">
        <v>718</v>
      </c>
      <c r="E1306" s="14" t="s">
        <v>1269</v>
      </c>
      <c r="F1306" s="14" t="str">
        <f>cst_wskakunin_koutei01_KOUTEI_KAISUU</f>
        <v/>
      </c>
    </row>
    <row r="1307" spans="1:7" ht="15" customHeight="1">
      <c r="A1307" s="50"/>
      <c r="B1307" s="75" t="s">
        <v>645</v>
      </c>
      <c r="E1307" s="14" t="s">
        <v>1273</v>
      </c>
      <c r="F1307" s="14" t="str">
        <f>cst_wskakunin_koutei01_KOUTEI_TEXT</f>
        <v/>
      </c>
    </row>
    <row r="1308" spans="1:7" ht="15" customHeight="1">
      <c r="A1308" s="50"/>
      <c r="B1308" s="75" t="s">
        <v>2420</v>
      </c>
      <c r="C1308" s="14" t="s">
        <v>2426</v>
      </c>
      <c r="D1308" s="241"/>
      <c r="E1308" s="14" t="s">
        <v>2438</v>
      </c>
      <c r="F1308" s="44" t="str">
        <f>IF(wskakunin_koutei01_INTER_ISSUE_NAME="","",wskakunin_koutei01_INTER_ISSUE_NAME)</f>
        <v/>
      </c>
    </row>
    <row r="1309" spans="1:7" ht="15" customHeight="1">
      <c r="A1309" s="50"/>
      <c r="B1309" s="75" t="s">
        <v>735</v>
      </c>
      <c r="C1309" s="14" t="s">
        <v>2427</v>
      </c>
      <c r="D1309" s="241"/>
      <c r="E1309" s="14" t="s">
        <v>2439</v>
      </c>
      <c r="F1309" s="44" t="str">
        <f>IF(wskakunin_koutei01_INTER_ISSUE_NO="","",wskakunin_koutei01_INTER_ISSUE_NO)</f>
        <v/>
      </c>
    </row>
    <row r="1310" spans="1:7" ht="15" customHeight="1">
      <c r="A1310" s="50"/>
      <c r="B1310" s="75" t="s">
        <v>736</v>
      </c>
      <c r="C1310" s="14" t="s">
        <v>2428</v>
      </c>
      <c r="D1310" s="263"/>
      <c r="E1310" s="14" t="s">
        <v>2440</v>
      </c>
      <c r="F1310" s="263" t="str">
        <f>IF(wskakunin_koutei01_INTER_ISSUE_DATE="","",wskakunin_koutei01_INTER_ISSUE_DATE)</f>
        <v/>
      </c>
    </row>
    <row r="1311" spans="1:7" ht="15" customHeight="1">
      <c r="A1311" s="50"/>
      <c r="B1311" s="75" t="s">
        <v>3211</v>
      </c>
      <c r="D1311" s="198"/>
      <c r="E1311" s="14" t="s">
        <v>3212</v>
      </c>
      <c r="F1311" s="489" t="str">
        <f>IF(COUNTIF(D1308:D1310,"&lt;&gt;")&gt;0,"有","無")</f>
        <v>無</v>
      </c>
    </row>
    <row r="1312" spans="1:7" ht="15" customHeight="1">
      <c r="A1312" s="182"/>
      <c r="B1312" s="199" t="s">
        <v>2437</v>
      </c>
      <c r="D1312" s="198"/>
      <c r="F1312" s="198"/>
    </row>
    <row r="1313" spans="1:6" ht="15" customHeight="1">
      <c r="A1313" s="50"/>
      <c r="B1313" s="75" t="s">
        <v>718</v>
      </c>
      <c r="D1313" s="198"/>
      <c r="E1313" s="14" t="s">
        <v>2442</v>
      </c>
      <c r="F1313" s="261" t="e">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#NAME?</v>
      </c>
    </row>
    <row r="1314" spans="1:6" ht="15" customHeight="1">
      <c r="A1314" s="50"/>
      <c r="B1314" s="75" t="s">
        <v>645</v>
      </c>
      <c r="D1314" s="198"/>
      <c r="E1314" s="14" t="s">
        <v>2443</v>
      </c>
      <c r="F1314" s="261"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屋根の小屋組工事及び構造耐力上主要な軸組の工事</v>
      </c>
    </row>
    <row r="1315" spans="1:6" ht="15" customHeight="1">
      <c r="A1315" s="50"/>
      <c r="B1315" s="75" t="s">
        <v>2420</v>
      </c>
      <c r="D1315" s="198"/>
      <c r="E1315" s="14" t="s">
        <v>2444</v>
      </c>
      <c r="F1315" s="261" t="e">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#NAME?</v>
      </c>
    </row>
    <row r="1316" spans="1:6" ht="15" customHeight="1">
      <c r="A1316" s="50"/>
      <c r="B1316" s="75" t="s">
        <v>735</v>
      </c>
      <c r="D1316" s="198"/>
      <c r="E1316" s="14" t="s">
        <v>2445</v>
      </c>
      <c r="F1316" s="261" t="e">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#NAME?</v>
      </c>
    </row>
    <row r="1317" spans="1:6" ht="15" customHeight="1">
      <c r="A1317" s="50"/>
      <c r="B1317" s="75" t="s">
        <v>736</v>
      </c>
      <c r="D1317" s="198"/>
      <c r="E1317" s="14" t="s">
        <v>2441</v>
      </c>
      <c r="F1317" s="263"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8" spans="1:6" ht="15" customHeight="1">
      <c r="A1318" s="184"/>
      <c r="B1318" s="75"/>
    </row>
    <row r="1319" spans="1:6" ht="15" customHeight="1">
      <c r="A1319" s="50" t="s">
        <v>2422</v>
      </c>
      <c r="B1319" s="183" t="s">
        <v>2436</v>
      </c>
    </row>
    <row r="1320" spans="1:6" ht="15" customHeight="1">
      <c r="A1320" s="50"/>
      <c r="B1320" s="75" t="s">
        <v>718</v>
      </c>
      <c r="E1320" s="14" t="s">
        <v>636</v>
      </c>
      <c r="F1320" s="14" t="str">
        <f>cst_wskakunin_koutei02_KOUTEI_KAISUU</f>
        <v/>
      </c>
    </row>
    <row r="1321" spans="1:6" ht="15" customHeight="1">
      <c r="A1321" s="50"/>
      <c r="B1321" s="75" t="s">
        <v>645</v>
      </c>
      <c r="E1321" s="14" t="s">
        <v>638</v>
      </c>
      <c r="F1321" s="14" t="str">
        <f>cst_wskakunin_koutei02_KOUTEI_TEXT</f>
        <v/>
      </c>
    </row>
    <row r="1322" spans="1:6" ht="15" customHeight="1">
      <c r="A1322" s="50"/>
      <c r="B1322" s="75" t="s">
        <v>2420</v>
      </c>
      <c r="C1322" s="14" t="s">
        <v>2423</v>
      </c>
      <c r="D1322" s="241"/>
      <c r="E1322" s="14" t="s">
        <v>2448</v>
      </c>
      <c r="F1322" s="44" t="str">
        <f>IF(wskakunin_koutei02_INTER_ISSUE_NAME="","",wskakunin_koutei02_INTER_ISSUE_NAME)</f>
        <v/>
      </c>
    </row>
    <row r="1323" spans="1:6" ht="15" customHeight="1">
      <c r="A1323" s="50"/>
      <c r="B1323" s="75" t="s">
        <v>735</v>
      </c>
      <c r="C1323" s="14" t="s">
        <v>2424</v>
      </c>
      <c r="D1323" s="241"/>
      <c r="E1323" s="14" t="s">
        <v>2449</v>
      </c>
      <c r="F1323" s="44" t="str">
        <f>IF(wskakunin_koutei02_INTER_ISSUE_NO="","",wskakunin_koutei02_INTER_ISSUE_NO)</f>
        <v/>
      </c>
    </row>
    <row r="1324" spans="1:6" ht="15" customHeight="1">
      <c r="A1324" s="50"/>
      <c r="B1324" s="75" t="s">
        <v>736</v>
      </c>
      <c r="C1324" s="14" t="s">
        <v>2425</v>
      </c>
      <c r="D1324" s="263"/>
      <c r="E1324" s="14" t="s">
        <v>2429</v>
      </c>
      <c r="F1324" s="263" t="str">
        <f>IF(wskakunin_koutei02_INTER_ISSUE_DATE="","",wskakunin_koutei02_INTER_ISSUE_DATE)</f>
        <v/>
      </c>
    </row>
    <row r="1325" spans="1:6" ht="15" customHeight="1">
      <c r="A1325" s="50"/>
      <c r="B1325" s="75"/>
      <c r="D1325" s="198"/>
      <c r="F1325" s="198"/>
    </row>
    <row r="1326" spans="1:6" ht="15" customHeight="1">
      <c r="A1326" s="50"/>
      <c r="B1326" s="75"/>
      <c r="D1326" s="198"/>
      <c r="F1326" s="198"/>
    </row>
    <row r="1327" spans="1:6" ht="15" customHeight="1">
      <c r="A1327" s="182"/>
      <c r="B1327" s="199" t="s">
        <v>2437</v>
      </c>
      <c r="D1327" s="198"/>
      <c r="F1327" s="198"/>
    </row>
    <row r="1328" spans="1:6" ht="15" customHeight="1">
      <c r="A1328" s="50"/>
      <c r="B1328" s="75" t="s">
        <v>718</v>
      </c>
      <c r="D1328" s="198"/>
      <c r="E1328" s="14" t="s">
        <v>2450</v>
      </c>
      <c r="F1328" s="261" t="e">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#NAME?</v>
      </c>
    </row>
    <row r="1329" spans="1:6" ht="15" customHeight="1">
      <c r="A1329" s="50"/>
      <c r="B1329" s="75" t="s">
        <v>645</v>
      </c>
      <c r="D1329" s="198"/>
      <c r="E1329" s="14" t="s">
        <v>2451</v>
      </c>
      <c r="F1329" s="261"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30" spans="1:6" ht="15" customHeight="1">
      <c r="A1330" s="50"/>
      <c r="B1330" s="75" t="s">
        <v>2420</v>
      </c>
      <c r="D1330" s="198"/>
      <c r="E1330" s="14" t="s">
        <v>2452</v>
      </c>
      <c r="F1330" s="261" t="e">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#NAME?</v>
      </c>
    </row>
    <row r="1331" spans="1:6" ht="15" customHeight="1">
      <c r="A1331" s="50"/>
      <c r="B1331" s="75" t="s">
        <v>735</v>
      </c>
      <c r="D1331" s="198"/>
      <c r="E1331" s="14" t="s">
        <v>2453</v>
      </c>
      <c r="F1331" s="261" t="e">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#NAME?</v>
      </c>
    </row>
    <row r="1332" spans="1:6" ht="15" customHeight="1">
      <c r="A1332" s="50"/>
      <c r="B1332" s="75" t="s">
        <v>736</v>
      </c>
      <c r="D1332" s="198"/>
      <c r="E1332" s="14" t="s">
        <v>2454</v>
      </c>
      <c r="F1332" s="263"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33" spans="1:6" ht="15" customHeight="1">
      <c r="A1333" s="179"/>
      <c r="B1333" s="197"/>
    </row>
    <row r="1334" spans="1:6" ht="15" customHeight="1">
      <c r="A1334" s="196"/>
      <c r="B1334" s="195"/>
    </row>
    <row r="1335" spans="1:6" ht="15" customHeight="1">
      <c r="A1335" s="44" t="s">
        <v>2758</v>
      </c>
      <c r="B1335" s="44"/>
      <c r="C1335" s="14" t="s">
        <v>2759</v>
      </c>
      <c r="D1335" s="44" t="s">
        <v>140</v>
      </c>
      <c r="E1335" s="14" t="s">
        <v>2760</v>
      </c>
      <c r="F1335" s="44" t="str">
        <f>IF(shinsei_build_YOUTO="","",shinsei_build_YOUTO)</f>
        <v>一戸建ての住宅</v>
      </c>
    </row>
  </sheetData>
  <mergeCells count="1">
    <mergeCell ref="A1070:B1070"/>
  </mergeCells>
  <phoneticPr fontId="5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3:J29"/>
  <sheetViews>
    <sheetView topLeftCell="A13" workbookViewId="0">
      <selection activeCell="I44" sqref="I44"/>
    </sheetView>
  </sheetViews>
  <sheetFormatPr defaultColWidth="9" defaultRowHeight="15" customHeight="1"/>
  <cols>
    <col min="1" max="5" width="2.625" style="14" customWidth="1"/>
    <col min="6" max="7" width="10.625" style="14" customWidth="1"/>
    <col min="8" max="8" width="18.375" style="14" customWidth="1"/>
    <col min="9" max="12" width="20.625" style="14" customWidth="1"/>
    <col min="13" max="13" width="9" style="14" customWidth="1"/>
    <col min="14" max="16384" width="9" style="14"/>
  </cols>
  <sheetData>
    <row r="3" spans="1:9" ht="15" customHeight="1">
      <c r="A3" s="14" t="s">
        <v>1294</v>
      </c>
    </row>
    <row r="4" spans="1:9" ht="15" customHeight="1">
      <c r="H4" s="128" t="s">
        <v>1316</v>
      </c>
      <c r="I4" s="124" t="s">
        <v>1317</v>
      </c>
    </row>
    <row r="5" spans="1:9" ht="15" customHeight="1">
      <c r="H5" s="121">
        <v>0</v>
      </c>
      <c r="I5" s="125" t="s">
        <v>1318</v>
      </c>
    </row>
    <row r="6" spans="1:9" ht="15" customHeight="1">
      <c r="H6" s="122">
        <v>100</v>
      </c>
      <c r="I6" s="126" t="s">
        <v>1319</v>
      </c>
    </row>
    <row r="7" spans="1:9" ht="15" customHeight="1">
      <c r="H7" s="122">
        <v>200</v>
      </c>
      <c r="I7" s="126" t="s">
        <v>1320</v>
      </c>
    </row>
    <row r="8" spans="1:9" ht="15" customHeight="1">
      <c r="H8" s="122">
        <v>300</v>
      </c>
      <c r="I8" s="126" t="s">
        <v>1321</v>
      </c>
    </row>
    <row r="9" spans="1:9" ht="15" customHeight="1">
      <c r="H9" s="123" t="s">
        <v>1297</v>
      </c>
      <c r="I9" s="127"/>
    </row>
    <row r="12" spans="1:9" ht="15" customHeight="1">
      <c r="A12" s="14" t="s">
        <v>1294</v>
      </c>
    </row>
    <row r="13" spans="1:9" ht="15" customHeight="1">
      <c r="H13" s="128" t="s">
        <v>1303</v>
      </c>
      <c r="I13" s="124" t="s">
        <v>1304</v>
      </c>
    </row>
    <row r="14" spans="1:9" ht="15" customHeight="1">
      <c r="H14" s="121">
        <v>1</v>
      </c>
      <c r="I14" s="125" t="s">
        <v>1298</v>
      </c>
    </row>
    <row r="15" spans="1:9" ht="15" customHeight="1">
      <c r="H15" s="122">
        <v>2</v>
      </c>
      <c r="I15" s="126" t="s">
        <v>1299</v>
      </c>
    </row>
    <row r="16" spans="1:9" ht="15" customHeight="1">
      <c r="H16" s="122">
        <v>3</v>
      </c>
      <c r="I16" s="126" t="s">
        <v>1300</v>
      </c>
    </row>
    <row r="17" spans="1:10" ht="15" customHeight="1">
      <c r="H17" s="122">
        <v>4</v>
      </c>
      <c r="I17" s="126" t="s">
        <v>1301</v>
      </c>
    </row>
    <row r="18" spans="1:10" ht="15" customHeight="1">
      <c r="H18" s="122">
        <v>5</v>
      </c>
      <c r="I18" s="126" t="s">
        <v>1302</v>
      </c>
    </row>
    <row r="19" spans="1:10" ht="15" customHeight="1">
      <c r="H19" s="123" t="s">
        <v>1297</v>
      </c>
      <c r="I19" s="127"/>
    </row>
    <row r="21" spans="1:10" ht="15" customHeight="1">
      <c r="H21" s="57"/>
    </row>
    <row r="22" spans="1:10" ht="15" customHeight="1">
      <c r="A22" s="14" t="s">
        <v>1292</v>
      </c>
    </row>
    <row r="23" spans="1:10" ht="15" customHeight="1">
      <c r="H23" s="128" t="s">
        <v>1311</v>
      </c>
      <c r="I23" s="124" t="s">
        <v>1312</v>
      </c>
      <c r="J23" s="194" t="s">
        <v>1319</v>
      </c>
    </row>
    <row r="24" spans="1:10" ht="15" customHeight="1">
      <c r="H24" s="121">
        <v>101</v>
      </c>
      <c r="I24" s="130" t="s">
        <v>1310</v>
      </c>
      <c r="J24" s="191">
        <v>1</v>
      </c>
    </row>
    <row r="25" spans="1:10" ht="15" customHeight="1">
      <c r="H25" s="122">
        <v>102</v>
      </c>
      <c r="I25" s="131" t="s">
        <v>1306</v>
      </c>
      <c r="J25" s="192">
        <v>1</v>
      </c>
    </row>
    <row r="26" spans="1:10" ht="15" customHeight="1">
      <c r="H26" s="122">
        <v>103</v>
      </c>
      <c r="I26" s="131" t="s">
        <v>1307</v>
      </c>
      <c r="J26" s="192">
        <v>3</v>
      </c>
    </row>
    <row r="27" spans="1:10" ht="15" customHeight="1">
      <c r="H27" s="122">
        <v>104</v>
      </c>
      <c r="I27" s="131" t="s">
        <v>1308</v>
      </c>
      <c r="J27" s="192">
        <v>4</v>
      </c>
    </row>
    <row r="28" spans="1:10" ht="15" customHeight="1">
      <c r="H28" s="122">
        <v>999</v>
      </c>
      <c r="I28" s="131" t="s">
        <v>1309</v>
      </c>
      <c r="J28" s="192"/>
    </row>
    <row r="29" spans="1:10" ht="15" customHeight="1">
      <c r="H29" s="129" t="s">
        <v>1297</v>
      </c>
      <c r="I29" s="132"/>
      <c r="J29" s="193"/>
    </row>
  </sheetData>
  <phoneticPr fontId="5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P68"/>
  <sheetViews>
    <sheetView topLeftCell="F1" workbookViewId="0">
      <pane ySplit="2" topLeftCell="A3" activePane="bottomLeft" state="frozen"/>
      <selection pane="bottomLeft"/>
    </sheetView>
  </sheetViews>
  <sheetFormatPr defaultColWidth="9" defaultRowHeight="13.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3" customWidth="1"/>
    <col min="34" max="34" width="23.875" customWidth="1"/>
    <col min="35" max="35" width="7.375" style="3" customWidth="1"/>
    <col min="37" max="37" width="9" style="3" customWidth="1"/>
    <col min="41" max="41" width="8" customWidth="1"/>
    <col min="42" max="42" width="6.75" customWidth="1"/>
  </cols>
  <sheetData>
    <row r="1" spans="1:42">
      <c r="A1" s="496" t="s">
        <v>199</v>
      </c>
      <c r="E1" s="496" t="s">
        <v>200</v>
      </c>
      <c r="R1" s="496" t="s">
        <v>201</v>
      </c>
      <c r="AO1" s="496" t="s">
        <v>202</v>
      </c>
    </row>
    <row r="2" spans="1:42">
      <c r="A2" s="4" t="s">
        <v>203</v>
      </c>
      <c r="B2" s="4" t="s">
        <v>204</v>
      </c>
      <c r="C2" s="4" t="s">
        <v>68</v>
      </c>
      <c r="D2" s="4" t="s">
        <v>129</v>
      </c>
      <c r="E2" s="5" t="s">
        <v>205</v>
      </c>
      <c r="F2" s="5" t="s">
        <v>206</v>
      </c>
      <c r="G2" s="5" t="s">
        <v>207</v>
      </c>
      <c r="H2" s="5" t="s">
        <v>208</v>
      </c>
      <c r="I2" s="5" t="s">
        <v>209</v>
      </c>
      <c r="J2" s="5" t="s">
        <v>210</v>
      </c>
      <c r="K2" s="5" t="s">
        <v>211</v>
      </c>
      <c r="L2" s="5" t="s">
        <v>212</v>
      </c>
      <c r="M2" s="5" t="s">
        <v>213</v>
      </c>
      <c r="N2" s="5" t="s">
        <v>214</v>
      </c>
      <c r="O2" s="5" t="s">
        <v>215</v>
      </c>
      <c r="P2" s="5" t="s">
        <v>216</v>
      </c>
      <c r="Q2" s="5" t="s">
        <v>217</v>
      </c>
      <c r="R2" s="6" t="s">
        <v>205</v>
      </c>
      <c r="S2" s="6" t="s">
        <v>206</v>
      </c>
      <c r="T2" s="6" t="s">
        <v>207</v>
      </c>
      <c r="U2" s="6" t="s">
        <v>208</v>
      </c>
      <c r="V2" s="6" t="s">
        <v>209</v>
      </c>
      <c r="W2" s="6" t="s">
        <v>210</v>
      </c>
      <c r="X2" s="6" t="s">
        <v>211</v>
      </c>
      <c r="Y2" s="6" t="s">
        <v>212</v>
      </c>
      <c r="Z2" s="6" t="s">
        <v>213</v>
      </c>
      <c r="AA2" s="6" t="s">
        <v>214</v>
      </c>
      <c r="AB2" s="6" t="s">
        <v>215</v>
      </c>
      <c r="AC2" s="6" t="s">
        <v>216</v>
      </c>
      <c r="AD2" s="6" t="s">
        <v>217</v>
      </c>
      <c r="AE2" s="4" t="s">
        <v>218</v>
      </c>
      <c r="AF2" s="4" t="s">
        <v>219</v>
      </c>
      <c r="AG2" s="4" t="s">
        <v>220</v>
      </c>
      <c r="AH2" s="4" t="s">
        <v>221</v>
      </c>
      <c r="AI2" s="4" t="s">
        <v>222</v>
      </c>
      <c r="AJ2" s="4" t="s">
        <v>223</v>
      </c>
      <c r="AK2" s="4" t="s">
        <v>224</v>
      </c>
      <c r="AL2" s="4" t="s">
        <v>225</v>
      </c>
      <c r="AM2" s="4" t="s">
        <v>226</v>
      </c>
      <c r="AN2" s="4" t="s">
        <v>227</v>
      </c>
      <c r="AO2" s="5" t="s">
        <v>123</v>
      </c>
      <c r="AP2" s="5" t="s">
        <v>123</v>
      </c>
    </row>
    <row r="3" spans="1:42">
      <c r="A3" s="496" t="s">
        <v>228</v>
      </c>
      <c r="B3" s="496" t="s">
        <v>229</v>
      </c>
      <c r="C3" s="496" t="s">
        <v>229</v>
      </c>
      <c r="D3" s="496" t="s">
        <v>230</v>
      </c>
      <c r="E3" s="496">
        <v>0.5</v>
      </c>
      <c r="F3" s="496">
        <v>0.5</v>
      </c>
      <c r="G3" s="496">
        <v>1</v>
      </c>
      <c r="H3" s="496">
        <v>1</v>
      </c>
      <c r="I3" s="496">
        <v>1</v>
      </c>
      <c r="J3" s="496">
        <v>1</v>
      </c>
      <c r="K3" s="496">
        <v>1</v>
      </c>
      <c r="L3" s="496">
        <v>1</v>
      </c>
      <c r="M3" s="496">
        <v>2</v>
      </c>
      <c r="N3" s="496">
        <v>1</v>
      </c>
      <c r="O3" s="496">
        <v>1</v>
      </c>
      <c r="P3" s="496">
        <v>1</v>
      </c>
      <c r="Q3" s="496">
        <v>0.5</v>
      </c>
      <c r="R3" s="496">
        <v>0.3</v>
      </c>
      <c r="S3" s="496">
        <v>0.3</v>
      </c>
      <c r="T3" s="496">
        <v>0.3</v>
      </c>
      <c r="U3" s="496">
        <v>0.3</v>
      </c>
      <c r="V3" s="496">
        <v>0.5</v>
      </c>
      <c r="W3" s="496">
        <v>0.5</v>
      </c>
      <c r="X3" s="496">
        <v>0.5</v>
      </c>
      <c r="Y3" s="496">
        <v>0.6</v>
      </c>
      <c r="Z3" s="496">
        <v>0.8</v>
      </c>
      <c r="AA3" s="496">
        <v>0.5</v>
      </c>
      <c r="AB3" s="496">
        <v>0.5</v>
      </c>
      <c r="AC3" s="496">
        <v>0.3</v>
      </c>
      <c r="AD3" s="496">
        <v>0.3</v>
      </c>
      <c r="AE3" s="496" t="s">
        <v>205</v>
      </c>
      <c r="AF3" s="496" t="s">
        <v>68</v>
      </c>
      <c r="AG3" s="3" t="s">
        <v>231</v>
      </c>
      <c r="AH3" s="496" t="s">
        <v>140</v>
      </c>
      <c r="AI3" s="3" t="s">
        <v>232</v>
      </c>
      <c r="AJ3" s="496" t="s">
        <v>233</v>
      </c>
      <c r="AK3" s="3" t="s">
        <v>234</v>
      </c>
      <c r="AL3" s="496" t="s">
        <v>235</v>
      </c>
      <c r="AM3" s="3" t="s">
        <v>226</v>
      </c>
      <c r="AN3" s="496" t="s">
        <v>236</v>
      </c>
      <c r="AO3" s="3" t="s">
        <v>237</v>
      </c>
      <c r="AP3" s="496">
        <v>11</v>
      </c>
    </row>
    <row r="4" spans="1:42">
      <c r="B4" s="496" t="s">
        <v>238</v>
      </c>
      <c r="C4" s="496" t="s">
        <v>238</v>
      </c>
      <c r="D4" s="496" t="s">
        <v>228</v>
      </c>
      <c r="E4" s="496">
        <v>0.6</v>
      </c>
      <c r="F4" s="496">
        <v>0.6</v>
      </c>
      <c r="G4" s="496">
        <v>1.5</v>
      </c>
      <c r="H4" s="496">
        <v>1.5</v>
      </c>
      <c r="I4" s="496">
        <v>1.5</v>
      </c>
      <c r="J4" s="496">
        <v>1.5</v>
      </c>
      <c r="K4" s="496">
        <v>1.5</v>
      </c>
      <c r="L4" s="496">
        <v>1.5</v>
      </c>
      <c r="M4" s="496">
        <v>3</v>
      </c>
      <c r="N4" s="496">
        <v>1.5</v>
      </c>
      <c r="O4" s="496">
        <v>1.5</v>
      </c>
      <c r="P4" s="496">
        <v>1.5</v>
      </c>
      <c r="Q4" s="496">
        <v>0.8</v>
      </c>
      <c r="R4" s="496">
        <v>0.4</v>
      </c>
      <c r="S4" s="496">
        <v>0.4</v>
      </c>
      <c r="T4" s="496">
        <v>0.4</v>
      </c>
      <c r="U4" s="496">
        <v>0.4</v>
      </c>
      <c r="V4" s="496">
        <v>0.6</v>
      </c>
      <c r="W4" s="496">
        <v>0.6</v>
      </c>
      <c r="X4" s="496">
        <v>0.6</v>
      </c>
      <c r="Y4" s="496">
        <v>0.8</v>
      </c>
      <c r="AA4" s="496">
        <v>0.6</v>
      </c>
      <c r="AB4" s="496">
        <v>0.6</v>
      </c>
      <c r="AC4" s="496">
        <v>0.4</v>
      </c>
      <c r="AD4" s="496">
        <v>0.4</v>
      </c>
      <c r="AE4" s="496" t="s">
        <v>206</v>
      </c>
      <c r="AF4" s="496" t="s">
        <v>239</v>
      </c>
      <c r="AG4" s="3" t="s">
        <v>240</v>
      </c>
      <c r="AH4" s="496" t="s">
        <v>241</v>
      </c>
      <c r="AI4" s="3" t="s">
        <v>242</v>
      </c>
      <c r="AJ4" s="496" t="s">
        <v>243</v>
      </c>
      <c r="AK4" s="3" t="s">
        <v>244</v>
      </c>
      <c r="AL4" s="496" t="s">
        <v>245</v>
      </c>
      <c r="AM4" s="3" t="s">
        <v>246</v>
      </c>
      <c r="AN4" s="496" t="s">
        <v>247</v>
      </c>
      <c r="AO4" s="3" t="s">
        <v>248</v>
      </c>
      <c r="AP4" s="496">
        <v>12</v>
      </c>
    </row>
    <row r="5" spans="1:42">
      <c r="B5" s="496" t="s">
        <v>249</v>
      </c>
      <c r="C5" s="496" t="s">
        <v>249</v>
      </c>
      <c r="D5" s="496" t="s">
        <v>229</v>
      </c>
      <c r="E5" s="496">
        <v>0.8</v>
      </c>
      <c r="F5" s="496">
        <v>0.8</v>
      </c>
      <c r="G5" s="496">
        <v>2</v>
      </c>
      <c r="H5" s="496">
        <v>2</v>
      </c>
      <c r="I5" s="496">
        <v>2</v>
      </c>
      <c r="J5" s="496">
        <v>2</v>
      </c>
      <c r="K5" s="496">
        <v>2</v>
      </c>
      <c r="L5" s="496">
        <v>2</v>
      </c>
      <c r="M5" s="496">
        <v>4</v>
      </c>
      <c r="N5" s="496">
        <v>2</v>
      </c>
      <c r="O5" s="496">
        <v>2</v>
      </c>
      <c r="P5" s="496">
        <v>2</v>
      </c>
      <c r="Q5" s="496">
        <v>1</v>
      </c>
      <c r="R5" s="496">
        <v>0.5</v>
      </c>
      <c r="S5" s="496">
        <v>0.5</v>
      </c>
      <c r="T5" s="496">
        <v>0.5</v>
      </c>
      <c r="U5" s="496">
        <v>0.5</v>
      </c>
      <c r="V5" s="496">
        <v>0.8</v>
      </c>
      <c r="W5" s="496">
        <v>0.8</v>
      </c>
      <c r="X5" s="496">
        <v>0.8</v>
      </c>
      <c r="AA5" s="496">
        <v>0.8</v>
      </c>
      <c r="AC5" s="496">
        <v>0.5</v>
      </c>
      <c r="AD5" s="496">
        <v>0.5</v>
      </c>
      <c r="AE5" s="496" t="s">
        <v>207</v>
      </c>
      <c r="AF5" s="496" t="s">
        <v>250</v>
      </c>
      <c r="AG5" s="3" t="s">
        <v>251</v>
      </c>
      <c r="AH5" s="496" t="s">
        <v>252</v>
      </c>
      <c r="AI5" s="3" t="s">
        <v>253</v>
      </c>
      <c r="AJ5" s="496" t="s">
        <v>254</v>
      </c>
      <c r="AK5" s="3" t="s">
        <v>255</v>
      </c>
      <c r="AL5" s="496" t="s">
        <v>256</v>
      </c>
      <c r="AM5" s="3" t="s">
        <v>257</v>
      </c>
      <c r="AN5" s="496" t="s">
        <v>258</v>
      </c>
      <c r="AO5" s="3" t="s">
        <v>259</v>
      </c>
      <c r="AP5" s="496">
        <v>13</v>
      </c>
    </row>
    <row r="6" spans="1:42">
      <c r="B6" s="496" t="s">
        <v>260</v>
      </c>
      <c r="C6" s="496" t="s">
        <v>260</v>
      </c>
      <c r="D6" s="496" t="s">
        <v>238</v>
      </c>
      <c r="E6" s="496">
        <v>1</v>
      </c>
      <c r="F6" s="496">
        <v>1</v>
      </c>
      <c r="G6" s="496">
        <v>3</v>
      </c>
      <c r="H6" s="496">
        <v>3</v>
      </c>
      <c r="I6" s="496">
        <v>3</v>
      </c>
      <c r="J6" s="496">
        <v>3</v>
      </c>
      <c r="K6" s="496">
        <v>3</v>
      </c>
      <c r="L6" s="496">
        <v>3</v>
      </c>
      <c r="M6" s="496">
        <v>5</v>
      </c>
      <c r="N6" s="496">
        <v>3</v>
      </c>
      <c r="O6" s="496">
        <v>3</v>
      </c>
      <c r="P6" s="496">
        <v>3</v>
      </c>
      <c r="Q6" s="496">
        <v>2</v>
      </c>
      <c r="R6" s="496">
        <v>0.6</v>
      </c>
      <c r="S6" s="496">
        <v>0.6</v>
      </c>
      <c r="T6" s="496">
        <v>0.6</v>
      </c>
      <c r="U6" s="496">
        <v>0.6</v>
      </c>
      <c r="AC6" s="496">
        <v>0.6</v>
      </c>
      <c r="AD6" s="496">
        <v>0.6</v>
      </c>
      <c r="AE6" s="496" t="s">
        <v>208</v>
      </c>
      <c r="AF6" s="496" t="s">
        <v>73</v>
      </c>
      <c r="AG6" s="3" t="s">
        <v>261</v>
      </c>
      <c r="AH6" s="496" t="s">
        <v>262</v>
      </c>
      <c r="AI6" s="3" t="s">
        <v>263</v>
      </c>
      <c r="AJ6" s="496" t="s">
        <v>264</v>
      </c>
      <c r="AK6" s="3" t="s">
        <v>265</v>
      </c>
      <c r="AL6" s="496" t="s">
        <v>266</v>
      </c>
      <c r="AM6" s="3" t="s">
        <v>267</v>
      </c>
      <c r="AO6" s="3" t="s">
        <v>268</v>
      </c>
      <c r="AP6" s="496">
        <v>14</v>
      </c>
    </row>
    <row r="7" spans="1:42">
      <c r="B7" s="496" t="s">
        <v>269</v>
      </c>
      <c r="C7" s="496" t="s">
        <v>269</v>
      </c>
      <c r="D7" s="496" t="s">
        <v>249</v>
      </c>
      <c r="E7" s="496">
        <v>1.5</v>
      </c>
      <c r="F7" s="496">
        <v>1.5</v>
      </c>
      <c r="G7" s="496">
        <v>4</v>
      </c>
      <c r="H7" s="496">
        <v>4</v>
      </c>
      <c r="I7" s="496">
        <v>4</v>
      </c>
      <c r="J7" s="496">
        <v>4</v>
      </c>
      <c r="K7" s="496">
        <v>4</v>
      </c>
      <c r="L7" s="496">
        <v>4</v>
      </c>
      <c r="M7" s="496">
        <v>6</v>
      </c>
      <c r="N7" s="496">
        <v>4</v>
      </c>
      <c r="O7" s="496">
        <v>4</v>
      </c>
      <c r="P7" s="496">
        <v>4</v>
      </c>
      <c r="Q7" s="496">
        <v>3</v>
      </c>
      <c r="AD7" s="496">
        <v>0.7</v>
      </c>
      <c r="AE7" s="496" t="s">
        <v>209</v>
      </c>
      <c r="AF7" s="496" t="s">
        <v>270</v>
      </c>
      <c r="AG7" s="3" t="s">
        <v>271</v>
      </c>
      <c r="AH7" s="496" t="s">
        <v>272</v>
      </c>
      <c r="AI7" s="3" t="s">
        <v>273</v>
      </c>
      <c r="AJ7" s="496" t="s">
        <v>274</v>
      </c>
      <c r="AK7" s="3" t="s">
        <v>275</v>
      </c>
      <c r="AL7" s="496" t="s">
        <v>276</v>
      </c>
      <c r="AM7" s="3" t="s">
        <v>277</v>
      </c>
      <c r="AO7" s="3" t="s">
        <v>278</v>
      </c>
      <c r="AP7" s="496">
        <v>15</v>
      </c>
    </row>
    <row r="8" spans="1:42">
      <c r="B8" s="496" t="s">
        <v>279</v>
      </c>
      <c r="C8" s="496" t="s">
        <v>279</v>
      </c>
      <c r="D8" s="496" t="s">
        <v>260</v>
      </c>
      <c r="E8" s="496">
        <v>2</v>
      </c>
      <c r="F8" s="496">
        <v>2</v>
      </c>
      <c r="G8" s="496">
        <v>5</v>
      </c>
      <c r="H8" s="496">
        <v>5</v>
      </c>
      <c r="I8" s="496">
        <v>5</v>
      </c>
      <c r="J8" s="496">
        <v>5</v>
      </c>
      <c r="K8" s="496">
        <v>5</v>
      </c>
      <c r="L8" s="496">
        <v>5</v>
      </c>
      <c r="M8" s="496">
        <v>7</v>
      </c>
      <c r="N8" s="496">
        <v>5</v>
      </c>
      <c r="Q8" s="496">
        <v>4</v>
      </c>
      <c r="AE8" s="496" t="s">
        <v>210</v>
      </c>
      <c r="AF8" s="496" t="s">
        <v>280</v>
      </c>
      <c r="AG8" s="3" t="s">
        <v>281</v>
      </c>
      <c r="AH8" s="496" t="s">
        <v>282</v>
      </c>
      <c r="AI8" s="3" t="s">
        <v>283</v>
      </c>
      <c r="AJ8" s="496" t="s">
        <v>284</v>
      </c>
      <c r="AK8" s="3" t="s">
        <v>285</v>
      </c>
      <c r="AL8" s="496" t="s">
        <v>2</v>
      </c>
      <c r="AM8" s="3" t="s">
        <v>2</v>
      </c>
      <c r="AP8" s="496">
        <v>16</v>
      </c>
    </row>
    <row r="9" spans="1:42">
      <c r="B9" s="496" t="s">
        <v>286</v>
      </c>
      <c r="C9" s="496" t="s">
        <v>286</v>
      </c>
      <c r="D9" s="496" t="s">
        <v>269</v>
      </c>
      <c r="M9" s="496">
        <v>8</v>
      </c>
      <c r="AE9" s="496" t="s">
        <v>211</v>
      </c>
      <c r="AG9" s="3" t="s">
        <v>287</v>
      </c>
      <c r="AH9" s="496" t="s">
        <v>288</v>
      </c>
      <c r="AI9" s="3" t="s">
        <v>289</v>
      </c>
      <c r="AJ9" s="496" t="s">
        <v>290</v>
      </c>
      <c r="AP9" s="496">
        <v>17</v>
      </c>
    </row>
    <row r="10" spans="1:42">
      <c r="B10" s="496" t="s">
        <v>291</v>
      </c>
      <c r="C10" s="496" t="s">
        <v>291</v>
      </c>
      <c r="D10" s="496" t="s">
        <v>279</v>
      </c>
      <c r="M10" s="496">
        <v>9</v>
      </c>
      <c r="AE10" s="496" t="s">
        <v>212</v>
      </c>
      <c r="AG10" s="3" t="s">
        <v>292</v>
      </c>
      <c r="AH10" s="496" t="s">
        <v>293</v>
      </c>
      <c r="AP10" s="496">
        <v>18</v>
      </c>
    </row>
    <row r="11" spans="1:42">
      <c r="B11" s="496" t="s">
        <v>294</v>
      </c>
      <c r="C11" s="496" t="s">
        <v>294</v>
      </c>
      <c r="D11" s="496" t="s">
        <v>286</v>
      </c>
      <c r="M11" s="496">
        <v>10</v>
      </c>
      <c r="AE11" s="496" t="s">
        <v>213</v>
      </c>
      <c r="AG11" s="3" t="s">
        <v>295</v>
      </c>
      <c r="AH11" s="496" t="s">
        <v>296</v>
      </c>
      <c r="AP11" s="496">
        <v>19</v>
      </c>
    </row>
    <row r="12" spans="1:42">
      <c r="B12" s="496" t="s">
        <v>297</v>
      </c>
      <c r="C12" s="496" t="s">
        <v>297</v>
      </c>
      <c r="D12" s="496" t="s">
        <v>291</v>
      </c>
      <c r="M12" s="496">
        <v>11</v>
      </c>
      <c r="AE12" s="496" t="s">
        <v>214</v>
      </c>
      <c r="AG12" s="3" t="s">
        <v>298</v>
      </c>
      <c r="AH12" s="496" t="s">
        <v>299</v>
      </c>
      <c r="AP12" s="496">
        <v>20</v>
      </c>
    </row>
    <row r="13" spans="1:42">
      <c r="B13" s="496" t="s">
        <v>300</v>
      </c>
      <c r="C13" s="496" t="s">
        <v>300</v>
      </c>
      <c r="D13" s="496" t="s">
        <v>294</v>
      </c>
      <c r="M13" s="496">
        <v>12</v>
      </c>
      <c r="AE13" s="496" t="s">
        <v>215</v>
      </c>
      <c r="AG13" s="3" t="s">
        <v>301</v>
      </c>
      <c r="AH13" s="496" t="s">
        <v>302</v>
      </c>
      <c r="AP13" s="496">
        <v>21</v>
      </c>
    </row>
    <row r="14" spans="1:42">
      <c r="B14" s="496" t="s">
        <v>303</v>
      </c>
      <c r="C14" s="496" t="s">
        <v>303</v>
      </c>
      <c r="D14" s="496" t="s">
        <v>297</v>
      </c>
      <c r="M14" s="496">
        <v>13</v>
      </c>
      <c r="AE14" s="496" t="s">
        <v>216</v>
      </c>
      <c r="AG14" s="3" t="s">
        <v>304</v>
      </c>
      <c r="AH14" s="496" t="s">
        <v>305</v>
      </c>
      <c r="AP14" s="496">
        <v>22</v>
      </c>
    </row>
    <row r="15" spans="1:42">
      <c r="B15" s="496" t="s">
        <v>306</v>
      </c>
      <c r="C15" s="496" t="s">
        <v>306</v>
      </c>
      <c r="D15" s="496" t="s">
        <v>300</v>
      </c>
      <c r="AE15" s="496" t="s">
        <v>217</v>
      </c>
      <c r="AG15" s="3" t="s">
        <v>307</v>
      </c>
      <c r="AH15" s="496" t="s">
        <v>308</v>
      </c>
      <c r="AP15" s="496">
        <v>23</v>
      </c>
    </row>
    <row r="16" spans="1:42">
      <c r="B16" s="496" t="s">
        <v>309</v>
      </c>
      <c r="C16" s="496" t="s">
        <v>309</v>
      </c>
      <c r="D16" s="496" t="s">
        <v>303</v>
      </c>
      <c r="AG16" s="3" t="s">
        <v>310</v>
      </c>
      <c r="AH16" s="496" t="s">
        <v>311</v>
      </c>
      <c r="AP16" s="496">
        <v>24</v>
      </c>
    </row>
    <row r="17" spans="2:42">
      <c r="B17" s="496" t="s">
        <v>312</v>
      </c>
      <c r="C17" s="496" t="s">
        <v>312</v>
      </c>
      <c r="D17" s="496" t="s">
        <v>306</v>
      </c>
      <c r="AG17" s="3" t="s">
        <v>313</v>
      </c>
      <c r="AH17" s="496" t="s">
        <v>314</v>
      </c>
      <c r="AP17" s="496">
        <v>25</v>
      </c>
    </row>
    <row r="18" spans="2:42">
      <c r="B18" s="496" t="s">
        <v>315</v>
      </c>
      <c r="C18" s="496" t="s">
        <v>315</v>
      </c>
      <c r="D18" s="496" t="s">
        <v>309</v>
      </c>
      <c r="AG18" s="3" t="s">
        <v>316</v>
      </c>
      <c r="AH18" s="496" t="s">
        <v>317</v>
      </c>
      <c r="AP18" s="496">
        <v>26</v>
      </c>
    </row>
    <row r="19" spans="2:42">
      <c r="B19" s="496" t="s">
        <v>318</v>
      </c>
      <c r="C19" s="496" t="s">
        <v>318</v>
      </c>
      <c r="D19" s="496" t="s">
        <v>312</v>
      </c>
      <c r="AG19" s="3" t="s">
        <v>319</v>
      </c>
      <c r="AH19" s="496" t="s">
        <v>320</v>
      </c>
      <c r="AP19" s="496">
        <v>27</v>
      </c>
    </row>
    <row r="20" spans="2:42">
      <c r="B20" s="496" t="s">
        <v>321</v>
      </c>
      <c r="C20" s="496" t="s">
        <v>321</v>
      </c>
      <c r="D20" s="496" t="s">
        <v>315</v>
      </c>
      <c r="AG20" s="3" t="s">
        <v>322</v>
      </c>
      <c r="AH20" s="496" t="s">
        <v>323</v>
      </c>
      <c r="AP20" s="496">
        <v>28</v>
      </c>
    </row>
    <row r="21" spans="2:42">
      <c r="B21" s="496" t="s">
        <v>324</v>
      </c>
      <c r="C21" s="496" t="s">
        <v>324</v>
      </c>
      <c r="D21" s="496" t="s">
        <v>318</v>
      </c>
      <c r="AG21" s="3" t="s">
        <v>325</v>
      </c>
      <c r="AH21" s="496" t="s">
        <v>326</v>
      </c>
      <c r="AP21" s="496">
        <v>29</v>
      </c>
    </row>
    <row r="22" spans="2:42">
      <c r="B22" s="496" t="s">
        <v>327</v>
      </c>
      <c r="C22" s="496" t="s">
        <v>327</v>
      </c>
      <c r="D22" s="496" t="s">
        <v>321</v>
      </c>
      <c r="AG22" s="3" t="s">
        <v>328</v>
      </c>
      <c r="AH22" s="496" t="s">
        <v>329</v>
      </c>
      <c r="AP22" s="496">
        <v>30</v>
      </c>
    </row>
    <row r="23" spans="2:42">
      <c r="B23" s="496" t="s">
        <v>330</v>
      </c>
      <c r="C23" s="496" t="s">
        <v>330</v>
      </c>
      <c r="D23" s="496" t="s">
        <v>324</v>
      </c>
      <c r="AG23" s="3" t="s">
        <v>331</v>
      </c>
      <c r="AH23" s="496" t="s">
        <v>332</v>
      </c>
      <c r="AP23" s="496">
        <v>31</v>
      </c>
    </row>
    <row r="24" spans="2:42">
      <c r="B24" s="496" t="s">
        <v>333</v>
      </c>
      <c r="C24" s="496" t="s">
        <v>333</v>
      </c>
      <c r="D24" s="496" t="s">
        <v>327</v>
      </c>
      <c r="AG24" s="3" t="s">
        <v>334</v>
      </c>
      <c r="AH24" s="496" t="s">
        <v>335</v>
      </c>
      <c r="AP24" s="496">
        <v>32</v>
      </c>
    </row>
    <row r="25" spans="2:42">
      <c r="B25" s="496" t="s">
        <v>336</v>
      </c>
      <c r="C25" s="496" t="s">
        <v>336</v>
      </c>
      <c r="D25" s="496" t="s">
        <v>330</v>
      </c>
      <c r="AG25" s="3" t="s">
        <v>337</v>
      </c>
      <c r="AH25" s="496" t="s">
        <v>338</v>
      </c>
      <c r="AP25" s="496">
        <v>33</v>
      </c>
    </row>
    <row r="26" spans="2:42">
      <c r="B26" s="496" t="s">
        <v>339</v>
      </c>
      <c r="C26" s="496" t="s">
        <v>339</v>
      </c>
      <c r="D26" s="496" t="s">
        <v>333</v>
      </c>
      <c r="AG26" s="3" t="s">
        <v>340</v>
      </c>
      <c r="AH26" s="496" t="s">
        <v>341</v>
      </c>
      <c r="AP26" s="496">
        <v>34</v>
      </c>
    </row>
    <row r="27" spans="2:42">
      <c r="B27" s="496" t="s">
        <v>342</v>
      </c>
      <c r="C27" s="496" t="s">
        <v>342</v>
      </c>
      <c r="D27" s="496" t="s">
        <v>336</v>
      </c>
      <c r="AG27" s="3" t="s">
        <v>343</v>
      </c>
      <c r="AH27" s="496" t="s">
        <v>344</v>
      </c>
      <c r="AP27" s="496">
        <v>35</v>
      </c>
    </row>
    <row r="28" spans="2:42">
      <c r="B28" s="496" t="s">
        <v>345</v>
      </c>
      <c r="C28" s="496" t="s">
        <v>345</v>
      </c>
      <c r="D28" s="496" t="s">
        <v>339</v>
      </c>
      <c r="AG28" s="3" t="s">
        <v>346</v>
      </c>
      <c r="AH28" s="496" t="s">
        <v>347</v>
      </c>
      <c r="AP28" s="496">
        <v>36</v>
      </c>
    </row>
    <row r="29" spans="2:42">
      <c r="B29" s="496" t="s">
        <v>348</v>
      </c>
      <c r="C29" s="496" t="s">
        <v>348</v>
      </c>
      <c r="D29" s="496" t="s">
        <v>342</v>
      </c>
      <c r="AG29" s="3" t="s">
        <v>349</v>
      </c>
      <c r="AH29" s="496" t="s">
        <v>350</v>
      </c>
      <c r="AP29" s="496">
        <v>37</v>
      </c>
    </row>
    <row r="30" spans="2:42">
      <c r="B30" s="496" t="s">
        <v>351</v>
      </c>
      <c r="C30" s="496" t="s">
        <v>351</v>
      </c>
      <c r="D30" s="496" t="s">
        <v>345</v>
      </c>
      <c r="AG30" s="3" t="s">
        <v>352</v>
      </c>
      <c r="AH30" s="496" t="s">
        <v>353</v>
      </c>
      <c r="AP30" s="496">
        <v>38</v>
      </c>
    </row>
    <row r="31" spans="2:42">
      <c r="B31" s="496" t="s">
        <v>354</v>
      </c>
      <c r="C31" s="496" t="s">
        <v>354</v>
      </c>
      <c r="D31" s="496" t="s">
        <v>348</v>
      </c>
      <c r="AG31" s="3" t="s">
        <v>355</v>
      </c>
      <c r="AH31" s="496" t="s">
        <v>356</v>
      </c>
      <c r="AP31" s="496">
        <v>39</v>
      </c>
    </row>
    <row r="32" spans="2:42">
      <c r="B32" s="496" t="s">
        <v>357</v>
      </c>
      <c r="C32" s="496" t="s">
        <v>357</v>
      </c>
      <c r="D32" s="496" t="s">
        <v>351</v>
      </c>
      <c r="AG32" s="3" t="s">
        <v>358</v>
      </c>
      <c r="AH32" s="496" t="s">
        <v>359</v>
      </c>
      <c r="AP32" s="496">
        <v>40</v>
      </c>
    </row>
    <row r="33" spans="2:42">
      <c r="B33" s="496" t="s">
        <v>360</v>
      </c>
      <c r="C33" s="496" t="s">
        <v>360</v>
      </c>
      <c r="D33" s="496" t="s">
        <v>354</v>
      </c>
      <c r="AG33" s="3" t="s">
        <v>361</v>
      </c>
      <c r="AH33" s="496" t="s">
        <v>362</v>
      </c>
      <c r="AP33" s="496">
        <v>41</v>
      </c>
    </row>
    <row r="34" spans="2:42">
      <c r="B34" s="496" t="s">
        <v>363</v>
      </c>
      <c r="C34" s="496" t="s">
        <v>363</v>
      </c>
      <c r="D34" s="496" t="s">
        <v>357</v>
      </c>
      <c r="AG34" s="3" t="s">
        <v>364</v>
      </c>
      <c r="AH34" s="496" t="s">
        <v>365</v>
      </c>
      <c r="AP34" s="496">
        <v>42</v>
      </c>
    </row>
    <row r="35" spans="2:42">
      <c r="B35" s="496" t="s">
        <v>366</v>
      </c>
      <c r="C35" s="496" t="s">
        <v>366</v>
      </c>
      <c r="D35" s="496" t="s">
        <v>360</v>
      </c>
      <c r="AG35" s="3" t="s">
        <v>367</v>
      </c>
      <c r="AH35" s="496" t="s">
        <v>368</v>
      </c>
      <c r="AP35" s="496">
        <v>43</v>
      </c>
    </row>
    <row r="36" spans="2:42">
      <c r="B36" s="496" t="s">
        <v>369</v>
      </c>
      <c r="C36" s="496" t="s">
        <v>369</v>
      </c>
      <c r="D36" s="496" t="s">
        <v>363</v>
      </c>
      <c r="AG36" s="3" t="s">
        <v>370</v>
      </c>
      <c r="AH36" s="496" t="s">
        <v>371</v>
      </c>
      <c r="AP36" s="496">
        <v>44</v>
      </c>
    </row>
    <row r="37" spans="2:42">
      <c r="B37" s="496" t="s">
        <v>372</v>
      </c>
      <c r="C37" s="496" t="s">
        <v>372</v>
      </c>
      <c r="D37" s="496" t="s">
        <v>366</v>
      </c>
      <c r="AG37" s="3" t="s">
        <v>373</v>
      </c>
      <c r="AH37" s="496" t="s">
        <v>374</v>
      </c>
      <c r="AP37" s="496">
        <v>45</v>
      </c>
    </row>
    <row r="38" spans="2:42">
      <c r="B38" s="496" t="s">
        <v>375</v>
      </c>
      <c r="C38" s="496" t="s">
        <v>375</v>
      </c>
      <c r="D38" s="496" t="s">
        <v>369</v>
      </c>
      <c r="AG38" s="3" t="s">
        <v>376</v>
      </c>
      <c r="AH38" s="496" t="s">
        <v>377</v>
      </c>
      <c r="AP38" s="496">
        <v>46</v>
      </c>
    </row>
    <row r="39" spans="2:42">
      <c r="B39" s="496" t="s">
        <v>378</v>
      </c>
      <c r="C39" s="496" t="s">
        <v>378</v>
      </c>
      <c r="D39" s="496" t="s">
        <v>372</v>
      </c>
      <c r="AG39" s="3" t="s">
        <v>379</v>
      </c>
      <c r="AH39" s="496" t="s">
        <v>380</v>
      </c>
      <c r="AP39" s="496">
        <v>99</v>
      </c>
    </row>
    <row r="40" spans="2:42">
      <c r="B40" s="496" t="s">
        <v>381</v>
      </c>
      <c r="C40" s="496" t="s">
        <v>381</v>
      </c>
      <c r="D40" s="496" t="s">
        <v>375</v>
      </c>
      <c r="AG40" s="3" t="s">
        <v>382</v>
      </c>
      <c r="AH40" s="496" t="s">
        <v>383</v>
      </c>
    </row>
    <row r="41" spans="2:42">
      <c r="B41" s="496" t="s">
        <v>384</v>
      </c>
      <c r="C41" s="496" t="s">
        <v>384</v>
      </c>
      <c r="D41" s="496" t="s">
        <v>378</v>
      </c>
      <c r="AG41" s="3" t="s">
        <v>385</v>
      </c>
      <c r="AH41" s="496" t="s">
        <v>386</v>
      </c>
    </row>
    <row r="42" spans="2:42">
      <c r="B42" s="496" t="s">
        <v>387</v>
      </c>
      <c r="C42" s="496" t="s">
        <v>387</v>
      </c>
      <c r="D42" s="496" t="s">
        <v>381</v>
      </c>
      <c r="AG42" s="3" t="s">
        <v>388</v>
      </c>
      <c r="AH42" s="496" t="s">
        <v>389</v>
      </c>
    </row>
    <row r="43" spans="2:42">
      <c r="B43" s="496" t="s">
        <v>390</v>
      </c>
      <c r="C43" s="496" t="s">
        <v>390</v>
      </c>
      <c r="D43" s="496" t="s">
        <v>384</v>
      </c>
      <c r="AG43" s="3" t="s">
        <v>391</v>
      </c>
      <c r="AH43" s="496" t="s">
        <v>392</v>
      </c>
    </row>
    <row r="44" spans="2:42">
      <c r="B44" s="496" t="s">
        <v>393</v>
      </c>
      <c r="C44" s="496" t="s">
        <v>393</v>
      </c>
      <c r="D44" s="496" t="s">
        <v>387</v>
      </c>
      <c r="AG44" s="3" t="s">
        <v>394</v>
      </c>
      <c r="AH44" s="496" t="s">
        <v>395</v>
      </c>
    </row>
    <row r="45" spans="2:42">
      <c r="B45" s="496" t="s">
        <v>396</v>
      </c>
      <c r="C45" s="496" t="s">
        <v>396</v>
      </c>
      <c r="D45" s="496" t="s">
        <v>390</v>
      </c>
      <c r="AG45" s="3" t="s">
        <v>397</v>
      </c>
      <c r="AH45" s="496" t="s">
        <v>398</v>
      </c>
    </row>
    <row r="46" spans="2:42">
      <c r="B46" s="496" t="s">
        <v>399</v>
      </c>
      <c r="C46" s="496" t="s">
        <v>399</v>
      </c>
      <c r="D46" s="496" t="s">
        <v>393</v>
      </c>
      <c r="AG46" s="3" t="s">
        <v>400</v>
      </c>
      <c r="AH46" s="496" t="s">
        <v>401</v>
      </c>
    </row>
    <row r="47" spans="2:42">
      <c r="B47" s="496" t="s">
        <v>402</v>
      </c>
      <c r="C47" s="496" t="s">
        <v>402</v>
      </c>
      <c r="D47" s="496" t="s">
        <v>396</v>
      </c>
      <c r="AG47" s="3" t="s">
        <v>403</v>
      </c>
      <c r="AH47" s="496" t="s">
        <v>404</v>
      </c>
    </row>
    <row r="48" spans="2:42">
      <c r="B48" s="496" t="s">
        <v>405</v>
      </c>
      <c r="C48" s="496" t="s">
        <v>405</v>
      </c>
      <c r="D48" s="496" t="s">
        <v>399</v>
      </c>
      <c r="AG48" s="3" t="s">
        <v>406</v>
      </c>
      <c r="AH48" s="496" t="s">
        <v>407</v>
      </c>
    </row>
    <row r="49" spans="2:34">
      <c r="B49" s="496" t="s">
        <v>408</v>
      </c>
      <c r="C49" s="496" t="s">
        <v>408</v>
      </c>
      <c r="D49" s="496" t="s">
        <v>402</v>
      </c>
      <c r="AG49" s="3" t="s">
        <v>409</v>
      </c>
      <c r="AH49" s="496" t="s">
        <v>410</v>
      </c>
    </row>
    <row r="50" spans="2:34">
      <c r="D50" s="496" t="s">
        <v>405</v>
      </c>
      <c r="AG50" s="3" t="s">
        <v>411</v>
      </c>
      <c r="AH50" s="496" t="s">
        <v>412</v>
      </c>
    </row>
    <row r="51" spans="2:34">
      <c r="D51" s="496" t="s">
        <v>408</v>
      </c>
      <c r="AG51" s="3" t="s">
        <v>413</v>
      </c>
      <c r="AH51" s="496" t="s">
        <v>414</v>
      </c>
    </row>
    <row r="52" spans="2:34">
      <c r="AG52" s="3" t="s">
        <v>415</v>
      </c>
      <c r="AH52" s="496" t="s">
        <v>416</v>
      </c>
    </row>
    <row r="53" spans="2:34">
      <c r="AG53" s="3" t="s">
        <v>417</v>
      </c>
      <c r="AH53" s="496" t="s">
        <v>418</v>
      </c>
    </row>
    <row r="54" spans="2:34">
      <c r="AG54" s="3" t="s">
        <v>419</v>
      </c>
      <c r="AH54" s="496" t="s">
        <v>420</v>
      </c>
    </row>
    <row r="55" spans="2:34">
      <c r="AG55" s="3" t="s">
        <v>421</v>
      </c>
      <c r="AH55" s="496" t="s">
        <v>422</v>
      </c>
    </row>
    <row r="56" spans="2:34">
      <c r="AG56" s="3" t="s">
        <v>423</v>
      </c>
      <c r="AH56" s="496" t="s">
        <v>424</v>
      </c>
    </row>
    <row r="57" spans="2:34">
      <c r="AG57" s="3" t="s">
        <v>425</v>
      </c>
      <c r="AH57" s="496" t="s">
        <v>426</v>
      </c>
    </row>
    <row r="58" spans="2:34">
      <c r="AG58" s="3" t="s">
        <v>427</v>
      </c>
      <c r="AH58" s="496" t="s">
        <v>428</v>
      </c>
    </row>
    <row r="59" spans="2:34">
      <c r="AG59" s="3" t="s">
        <v>429</v>
      </c>
      <c r="AH59" s="496" t="s">
        <v>430</v>
      </c>
    </row>
    <row r="60" spans="2:34">
      <c r="AG60" s="3" t="s">
        <v>431</v>
      </c>
      <c r="AH60" s="496" t="s">
        <v>432</v>
      </c>
    </row>
    <row r="61" spans="2:34">
      <c r="AG61" s="3" t="s">
        <v>433</v>
      </c>
      <c r="AH61" s="496" t="s">
        <v>434</v>
      </c>
    </row>
    <row r="62" spans="2:34">
      <c r="AG62" s="3" t="s">
        <v>435</v>
      </c>
      <c r="AH62" s="496" t="s">
        <v>436</v>
      </c>
    </row>
    <row r="63" spans="2:34">
      <c r="AG63" s="3" t="s">
        <v>437</v>
      </c>
      <c r="AH63" s="496" t="s">
        <v>438</v>
      </c>
    </row>
    <row r="64" spans="2:34">
      <c r="AG64" s="3" t="s">
        <v>439</v>
      </c>
      <c r="AH64" s="496" t="s">
        <v>440</v>
      </c>
    </row>
    <row r="65" spans="33:34">
      <c r="AG65" s="3" t="s">
        <v>441</v>
      </c>
      <c r="AH65" s="496" t="s">
        <v>442</v>
      </c>
    </row>
    <row r="66" spans="33:34">
      <c r="AG66" s="3" t="s">
        <v>443</v>
      </c>
      <c r="AH66" s="496" t="s">
        <v>444</v>
      </c>
    </row>
    <row r="67" spans="33:34">
      <c r="AG67" s="3" t="s">
        <v>445</v>
      </c>
      <c r="AH67" s="496" t="s">
        <v>446</v>
      </c>
    </row>
    <row r="68" spans="33:34">
      <c r="AG68" s="3" t="s">
        <v>447</v>
      </c>
      <c r="AH68" s="496" t="s">
        <v>448</v>
      </c>
    </row>
  </sheetData>
  <phoneticPr fontId="57"/>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C65"/>
  <sheetViews>
    <sheetView workbookViewId="0"/>
  </sheetViews>
  <sheetFormatPr defaultColWidth="9" defaultRowHeight="13.5"/>
  <cols>
    <col min="1" max="1" width="52.625" style="18" customWidth="1"/>
    <col min="2" max="2" width="9" style="18" customWidth="1"/>
    <col min="3" max="16384" width="9" style="18"/>
  </cols>
  <sheetData>
    <row r="1" spans="1:3">
      <c r="A1" s="26" t="s">
        <v>140</v>
      </c>
      <c r="B1" s="26" t="s">
        <v>231</v>
      </c>
      <c r="C1" s="21" t="s">
        <v>521</v>
      </c>
    </row>
    <row r="2" spans="1:3">
      <c r="A2" s="26" t="s">
        <v>420</v>
      </c>
      <c r="B2" s="26" t="s">
        <v>419</v>
      </c>
    </row>
    <row r="3" spans="1:3">
      <c r="A3" s="26" t="s">
        <v>241</v>
      </c>
      <c r="B3" s="26" t="s">
        <v>240</v>
      </c>
    </row>
    <row r="4" spans="1:3">
      <c r="A4" s="26" t="s">
        <v>252</v>
      </c>
      <c r="B4" s="26" t="s">
        <v>251</v>
      </c>
    </row>
    <row r="5" spans="1:3">
      <c r="A5" s="26" t="s">
        <v>262</v>
      </c>
      <c r="B5" s="26" t="s">
        <v>261</v>
      </c>
    </row>
    <row r="6" spans="1:3">
      <c r="A6" s="26" t="s">
        <v>272</v>
      </c>
      <c r="B6" s="26" t="s">
        <v>271</v>
      </c>
    </row>
    <row r="7" spans="1:3">
      <c r="A7" s="26" t="s">
        <v>282</v>
      </c>
      <c r="B7" s="26" t="s">
        <v>281</v>
      </c>
    </row>
    <row r="8" spans="1:3">
      <c r="A8" s="26" t="s">
        <v>288</v>
      </c>
      <c r="B8" s="26" t="s">
        <v>287</v>
      </c>
    </row>
    <row r="9" spans="1:3">
      <c r="A9" s="26" t="s">
        <v>293</v>
      </c>
      <c r="B9" s="26" t="s">
        <v>292</v>
      </c>
    </row>
    <row r="10" spans="1:3">
      <c r="A10" s="26" t="s">
        <v>590</v>
      </c>
      <c r="B10" s="26" t="s">
        <v>295</v>
      </c>
    </row>
    <row r="11" spans="1:3">
      <c r="A11" s="26" t="s">
        <v>299</v>
      </c>
      <c r="B11" s="26" t="s">
        <v>298</v>
      </c>
    </row>
    <row r="12" spans="1:3">
      <c r="A12" s="26" t="s">
        <v>302</v>
      </c>
      <c r="B12" s="26" t="s">
        <v>301</v>
      </c>
    </row>
    <row r="13" spans="1:3">
      <c r="A13" s="26" t="s">
        <v>305</v>
      </c>
      <c r="B13" s="26" t="s">
        <v>304</v>
      </c>
    </row>
    <row r="14" spans="1:3">
      <c r="A14" s="26" t="s">
        <v>308</v>
      </c>
      <c r="B14" s="26" t="s">
        <v>307</v>
      </c>
    </row>
    <row r="15" spans="1:3">
      <c r="A15" s="26" t="s">
        <v>589</v>
      </c>
      <c r="B15" s="26" t="s">
        <v>310</v>
      </c>
    </row>
    <row r="16" spans="1:3">
      <c r="A16" s="26" t="s">
        <v>588</v>
      </c>
      <c r="B16" s="26" t="s">
        <v>313</v>
      </c>
    </row>
    <row r="17" spans="1:2">
      <c r="A17" s="26" t="s">
        <v>317</v>
      </c>
      <c r="B17" s="26" t="s">
        <v>316</v>
      </c>
    </row>
    <row r="18" spans="1:2">
      <c r="A18" s="26" t="s">
        <v>587</v>
      </c>
      <c r="B18" s="26" t="s">
        <v>319</v>
      </c>
    </row>
    <row r="19" spans="1:2">
      <c r="A19" s="26" t="s">
        <v>323</v>
      </c>
      <c r="B19" s="26" t="s">
        <v>322</v>
      </c>
    </row>
    <row r="20" spans="1:2">
      <c r="A20" s="26" t="s">
        <v>326</v>
      </c>
      <c r="B20" s="26" t="s">
        <v>325</v>
      </c>
    </row>
    <row r="21" spans="1:2">
      <c r="A21" s="26" t="s">
        <v>586</v>
      </c>
      <c r="B21" s="26" t="s">
        <v>328</v>
      </c>
    </row>
    <row r="22" spans="1:2">
      <c r="A22" s="26" t="s">
        <v>335</v>
      </c>
      <c r="B22" s="26" t="s">
        <v>334</v>
      </c>
    </row>
    <row r="23" spans="1:2">
      <c r="A23" s="26" t="s">
        <v>338</v>
      </c>
      <c r="B23" s="26" t="s">
        <v>337</v>
      </c>
    </row>
    <row r="24" spans="1:2">
      <c r="A24" s="26" t="s">
        <v>341</v>
      </c>
      <c r="B24" s="26" t="s">
        <v>340</v>
      </c>
    </row>
    <row r="25" spans="1:2">
      <c r="A25" s="26" t="s">
        <v>344</v>
      </c>
      <c r="B25" s="26" t="s">
        <v>343</v>
      </c>
    </row>
    <row r="26" spans="1:2">
      <c r="A26" s="26" t="s">
        <v>347</v>
      </c>
      <c r="B26" s="26" t="s">
        <v>346</v>
      </c>
    </row>
    <row r="27" spans="1:2">
      <c r="A27" s="26" t="s">
        <v>350</v>
      </c>
      <c r="B27" s="26" t="s">
        <v>349</v>
      </c>
    </row>
    <row r="28" spans="1:2">
      <c r="A28" s="26" t="s">
        <v>585</v>
      </c>
      <c r="B28" s="26" t="s">
        <v>352</v>
      </c>
    </row>
    <row r="29" spans="1:2">
      <c r="A29" s="26" t="s">
        <v>356</v>
      </c>
      <c r="B29" s="26" t="s">
        <v>355</v>
      </c>
    </row>
    <row r="30" spans="1:2">
      <c r="A30" s="26" t="s">
        <v>584</v>
      </c>
      <c r="B30" s="26" t="s">
        <v>358</v>
      </c>
    </row>
    <row r="31" spans="1:2">
      <c r="A31" s="26" t="s">
        <v>583</v>
      </c>
      <c r="B31" s="26" t="s">
        <v>361</v>
      </c>
    </row>
    <row r="32" spans="1:2">
      <c r="A32" s="26" t="s">
        <v>365</v>
      </c>
      <c r="B32" s="26" t="s">
        <v>364</v>
      </c>
    </row>
    <row r="33" spans="1:2">
      <c r="A33" s="26" t="s">
        <v>368</v>
      </c>
      <c r="B33" s="26" t="s">
        <v>367</v>
      </c>
    </row>
    <row r="34" spans="1:2">
      <c r="A34" s="26" t="s">
        <v>371</v>
      </c>
      <c r="B34" s="26" t="s">
        <v>370</v>
      </c>
    </row>
    <row r="35" spans="1:2">
      <c r="A35" s="26" t="s">
        <v>374</v>
      </c>
      <c r="B35" s="26" t="s">
        <v>373</v>
      </c>
    </row>
    <row r="36" spans="1:2">
      <c r="A36" s="26" t="s">
        <v>377</v>
      </c>
      <c r="B36" s="26" t="s">
        <v>376</v>
      </c>
    </row>
    <row r="37" spans="1:2">
      <c r="A37" s="26" t="s">
        <v>582</v>
      </c>
      <c r="B37" s="26" t="s">
        <v>379</v>
      </c>
    </row>
    <row r="38" spans="1:2">
      <c r="A38" s="26" t="s">
        <v>581</v>
      </c>
      <c r="B38" s="26" t="s">
        <v>382</v>
      </c>
    </row>
    <row r="39" spans="1:2">
      <c r="A39" s="26" t="s">
        <v>386</v>
      </c>
      <c r="B39" s="26" t="s">
        <v>385</v>
      </c>
    </row>
    <row r="40" spans="1:2">
      <c r="A40" s="26" t="s">
        <v>389</v>
      </c>
      <c r="B40" s="26" t="s">
        <v>388</v>
      </c>
    </row>
    <row r="41" spans="1:2">
      <c r="A41" s="26" t="s">
        <v>392</v>
      </c>
      <c r="B41" s="26" t="s">
        <v>391</v>
      </c>
    </row>
    <row r="42" spans="1:2">
      <c r="A42" s="26" t="s">
        <v>395</v>
      </c>
      <c r="B42" s="26" t="s">
        <v>394</v>
      </c>
    </row>
    <row r="43" spans="1:2">
      <c r="A43" s="26" t="s">
        <v>398</v>
      </c>
      <c r="B43" s="26" t="s">
        <v>397</v>
      </c>
    </row>
    <row r="44" spans="1:2">
      <c r="A44" s="26" t="s">
        <v>580</v>
      </c>
      <c r="B44" s="26" t="s">
        <v>400</v>
      </c>
    </row>
    <row r="45" spans="1:2">
      <c r="A45" s="26" t="s">
        <v>579</v>
      </c>
      <c r="B45" s="26" t="s">
        <v>403</v>
      </c>
    </row>
    <row r="46" spans="1:2">
      <c r="A46" s="26" t="s">
        <v>407</v>
      </c>
      <c r="B46" s="26" t="s">
        <v>406</v>
      </c>
    </row>
    <row r="47" spans="1:2">
      <c r="A47" s="26" t="s">
        <v>578</v>
      </c>
      <c r="B47" s="26" t="s">
        <v>409</v>
      </c>
    </row>
    <row r="48" spans="1:2">
      <c r="A48" s="26" t="s">
        <v>577</v>
      </c>
      <c r="B48" s="26" t="s">
        <v>411</v>
      </c>
    </row>
    <row r="49" spans="1:2">
      <c r="A49" s="26" t="s">
        <v>576</v>
      </c>
      <c r="B49" s="26" t="s">
        <v>413</v>
      </c>
    </row>
    <row r="50" spans="1:2">
      <c r="A50" s="26" t="s">
        <v>416</v>
      </c>
      <c r="B50" s="26" t="s">
        <v>415</v>
      </c>
    </row>
    <row r="51" spans="1:2">
      <c r="A51" s="26" t="s">
        <v>418</v>
      </c>
      <c r="B51" s="26" t="s">
        <v>417</v>
      </c>
    </row>
    <row r="52" spans="1:2">
      <c r="A52" s="26" t="s">
        <v>575</v>
      </c>
      <c r="B52" s="26" t="s">
        <v>421</v>
      </c>
    </row>
    <row r="53" spans="1:2">
      <c r="A53" s="26" t="s">
        <v>424</v>
      </c>
      <c r="B53" s="26" t="s">
        <v>423</v>
      </c>
    </row>
    <row r="54" spans="1:2">
      <c r="A54" s="26" t="s">
        <v>426</v>
      </c>
      <c r="B54" s="26" t="s">
        <v>425</v>
      </c>
    </row>
    <row r="55" spans="1:2">
      <c r="A55" s="26" t="s">
        <v>428</v>
      </c>
      <c r="B55" s="26" t="s">
        <v>427</v>
      </c>
    </row>
    <row r="56" spans="1:2">
      <c r="A56" s="26" t="s">
        <v>430</v>
      </c>
      <c r="B56" s="26" t="s">
        <v>429</v>
      </c>
    </row>
    <row r="57" spans="1:2">
      <c r="A57" s="26" t="s">
        <v>432</v>
      </c>
      <c r="B57" s="26" t="s">
        <v>431</v>
      </c>
    </row>
    <row r="58" spans="1:2">
      <c r="A58" s="26" t="s">
        <v>434</v>
      </c>
      <c r="B58" s="26" t="s">
        <v>433</v>
      </c>
    </row>
    <row r="59" spans="1:2">
      <c r="A59" s="26" t="s">
        <v>436</v>
      </c>
      <c r="B59" s="26" t="s">
        <v>435</v>
      </c>
    </row>
    <row r="60" spans="1:2">
      <c r="A60" s="26" t="s">
        <v>438</v>
      </c>
      <c r="B60" s="26" t="s">
        <v>437</v>
      </c>
    </row>
    <row r="61" spans="1:2">
      <c r="A61" s="26" t="s">
        <v>440</v>
      </c>
      <c r="B61" s="26" t="s">
        <v>439</v>
      </c>
    </row>
    <row r="62" spans="1:2">
      <c r="A62" s="26" t="s">
        <v>574</v>
      </c>
      <c r="B62" s="26" t="s">
        <v>441</v>
      </c>
    </row>
    <row r="63" spans="1:2">
      <c r="A63" s="26" t="s">
        <v>444</v>
      </c>
      <c r="B63" s="26" t="s">
        <v>443</v>
      </c>
    </row>
    <row r="64" spans="1:2">
      <c r="A64" s="26" t="s">
        <v>446</v>
      </c>
      <c r="B64" s="26" t="s">
        <v>445</v>
      </c>
    </row>
    <row r="65" spans="1:2">
      <c r="A65" s="26" t="s">
        <v>2</v>
      </c>
      <c r="B65" s="26" t="s">
        <v>447</v>
      </c>
    </row>
  </sheetData>
  <phoneticPr fontId="57"/>
  <hyperlinks>
    <hyperlink ref="C1" location="トップ!A1" display="トップ"/>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U37"/>
  <sheetViews>
    <sheetView workbookViewId="0"/>
  </sheetViews>
  <sheetFormatPr defaultColWidth="9" defaultRowHeight="13.5"/>
  <cols>
    <col min="1" max="2" width="9" style="18" customWidth="1"/>
    <col min="3" max="3" width="32.75" style="18" bestFit="1" customWidth="1"/>
    <col min="4" max="4" width="13" style="18" bestFit="1" customWidth="1"/>
    <col min="5" max="9" width="3.375" style="18" bestFit="1" customWidth="1"/>
    <col min="10" max="10" width="4.375" style="18" bestFit="1" customWidth="1"/>
    <col min="11" max="11" width="24.125" style="18" bestFit="1" customWidth="1"/>
    <col min="12" max="12" width="20.375" style="18" bestFit="1" customWidth="1"/>
    <col min="13" max="13" width="36.125" style="18" bestFit="1" customWidth="1"/>
    <col min="14" max="14" width="55.25" style="18" bestFit="1" customWidth="1"/>
    <col min="15" max="15" width="6.75" style="18" bestFit="1" customWidth="1"/>
    <col min="16" max="20" width="3.375" style="18" bestFit="1" customWidth="1"/>
    <col min="21" max="21" width="3.625" style="18" customWidth="1"/>
    <col min="22" max="22" width="9" style="18" customWidth="1"/>
    <col min="23" max="16384" width="9" style="18"/>
  </cols>
  <sheetData>
    <row r="1" spans="1:21">
      <c r="A1" s="19" t="s">
        <v>521</v>
      </c>
      <c r="I1" s="25" t="s">
        <v>505</v>
      </c>
      <c r="K1" s="18" t="s">
        <v>573</v>
      </c>
      <c r="L1" s="18" t="s">
        <v>572</v>
      </c>
      <c r="Q1" s="23" t="s">
        <v>237</v>
      </c>
      <c r="R1" s="18">
        <v>11</v>
      </c>
      <c r="S1" s="18" t="s">
        <v>522</v>
      </c>
      <c r="T1" s="18" t="s">
        <v>525</v>
      </c>
    </row>
    <row r="2" spans="1:21">
      <c r="B2" s="18" t="s">
        <v>571</v>
      </c>
      <c r="C2" s="18" t="s">
        <v>570</v>
      </c>
      <c r="D2" s="18" t="s">
        <v>228</v>
      </c>
      <c r="E2" s="18">
        <v>21</v>
      </c>
      <c r="F2" s="18" t="s">
        <v>569</v>
      </c>
      <c r="G2" s="18">
        <v>1</v>
      </c>
      <c r="H2" s="18">
        <v>1</v>
      </c>
      <c r="I2" s="25" t="s">
        <v>568</v>
      </c>
      <c r="J2" s="18">
        <v>100</v>
      </c>
      <c r="K2" s="18" t="s">
        <v>567</v>
      </c>
      <c r="L2" s="18" t="s">
        <v>566</v>
      </c>
      <c r="M2" s="22" t="s">
        <v>565</v>
      </c>
      <c r="N2" s="18" t="s">
        <v>564</v>
      </c>
      <c r="O2" s="24" t="s">
        <v>515</v>
      </c>
      <c r="P2" s="25" t="s">
        <v>563</v>
      </c>
      <c r="Q2" s="23" t="s">
        <v>248</v>
      </c>
      <c r="R2" s="18">
        <v>12</v>
      </c>
      <c r="S2" s="18" t="s">
        <v>562</v>
      </c>
      <c r="T2" s="18" t="s">
        <v>524</v>
      </c>
      <c r="U2" s="18" t="s">
        <v>466</v>
      </c>
    </row>
    <row r="3" spans="1:21">
      <c r="A3" s="18" t="s">
        <v>561</v>
      </c>
      <c r="B3" s="18" t="s">
        <v>560</v>
      </c>
      <c r="C3" s="18" t="s">
        <v>559</v>
      </c>
      <c r="D3" s="18" t="s">
        <v>260</v>
      </c>
      <c r="E3" s="18">
        <v>22</v>
      </c>
      <c r="F3" s="18" t="s">
        <v>558</v>
      </c>
      <c r="G3" s="18">
        <v>2</v>
      </c>
      <c r="H3" s="18">
        <v>2</v>
      </c>
      <c r="J3" s="18">
        <v>125</v>
      </c>
      <c r="K3" s="18" t="s">
        <v>557</v>
      </c>
      <c r="L3" s="18" t="s">
        <v>556</v>
      </c>
      <c r="M3" s="22" t="s">
        <v>520</v>
      </c>
      <c r="N3" s="18" t="s">
        <v>555</v>
      </c>
      <c r="O3" s="24" t="s">
        <v>554</v>
      </c>
      <c r="Q3" s="23" t="s">
        <v>259</v>
      </c>
      <c r="R3" s="18">
        <v>13</v>
      </c>
      <c r="T3" s="18" t="s">
        <v>523</v>
      </c>
    </row>
    <row r="4" spans="1:21">
      <c r="A4" s="18" t="s">
        <v>553</v>
      </c>
      <c r="C4" s="18" t="s">
        <v>552</v>
      </c>
      <c r="D4" s="18" t="s">
        <v>238</v>
      </c>
      <c r="E4" s="18">
        <v>23</v>
      </c>
      <c r="G4" s="18">
        <v>3</v>
      </c>
      <c r="H4" s="18">
        <v>3</v>
      </c>
      <c r="J4" s="18">
        <v>165</v>
      </c>
      <c r="K4" s="18" t="s">
        <v>551</v>
      </c>
      <c r="L4" s="18" t="s">
        <v>550</v>
      </c>
      <c r="M4" s="22" t="s">
        <v>519</v>
      </c>
      <c r="N4" s="18" t="s">
        <v>549</v>
      </c>
      <c r="Q4" s="23" t="s">
        <v>268</v>
      </c>
      <c r="R4" s="18">
        <v>14</v>
      </c>
    </row>
    <row r="5" spans="1:21">
      <c r="A5" s="18" t="s">
        <v>68</v>
      </c>
      <c r="C5" s="18" t="s">
        <v>548</v>
      </c>
      <c r="E5" s="18">
        <v>24</v>
      </c>
      <c r="G5" s="18">
        <v>4</v>
      </c>
      <c r="H5" s="18">
        <v>4</v>
      </c>
      <c r="L5" s="18" t="s">
        <v>547</v>
      </c>
      <c r="M5" s="22" t="s">
        <v>518</v>
      </c>
      <c r="N5" s="18" t="s">
        <v>546</v>
      </c>
      <c r="Q5" s="23" t="s">
        <v>278</v>
      </c>
      <c r="R5" s="18">
        <v>15</v>
      </c>
    </row>
    <row r="6" spans="1:21">
      <c r="C6" s="18" t="s">
        <v>545</v>
      </c>
      <c r="E6" s="18">
        <v>25</v>
      </c>
      <c r="G6" s="18">
        <v>5</v>
      </c>
      <c r="H6" s="18">
        <v>5</v>
      </c>
      <c r="L6" s="18" t="s">
        <v>544</v>
      </c>
      <c r="M6" s="22" t="s">
        <v>543</v>
      </c>
      <c r="N6" s="18" t="s">
        <v>542</v>
      </c>
      <c r="Q6" s="23"/>
      <c r="R6" s="18">
        <v>16</v>
      </c>
    </row>
    <row r="7" spans="1:21">
      <c r="E7" s="18">
        <v>26</v>
      </c>
      <c r="G7" s="18">
        <v>6</v>
      </c>
      <c r="H7" s="18">
        <v>6</v>
      </c>
      <c r="L7" s="18" t="s">
        <v>541</v>
      </c>
      <c r="M7" s="22" t="s">
        <v>517</v>
      </c>
      <c r="N7" s="18" t="s">
        <v>540</v>
      </c>
      <c r="R7" s="18">
        <v>17</v>
      </c>
    </row>
    <row r="8" spans="1:21">
      <c r="E8" s="18">
        <v>27</v>
      </c>
      <c r="G8" s="18">
        <v>7</v>
      </c>
      <c r="H8" s="18">
        <v>7</v>
      </c>
      <c r="L8" s="18" t="s">
        <v>539</v>
      </c>
      <c r="M8" s="22" t="s">
        <v>516</v>
      </c>
      <c r="N8" s="18" t="s">
        <v>538</v>
      </c>
      <c r="R8" s="18">
        <v>18</v>
      </c>
    </row>
    <row r="9" spans="1:21">
      <c r="E9" s="18">
        <v>28</v>
      </c>
      <c r="G9" s="18">
        <v>8</v>
      </c>
      <c r="H9" s="18">
        <v>8</v>
      </c>
      <c r="L9" s="18" t="s">
        <v>537</v>
      </c>
      <c r="M9" s="22" t="s">
        <v>536</v>
      </c>
      <c r="N9" s="18" t="s">
        <v>535</v>
      </c>
      <c r="R9" s="18">
        <v>19</v>
      </c>
    </row>
    <row r="10" spans="1:21">
      <c r="E10" s="18">
        <v>29</v>
      </c>
      <c r="G10" s="18">
        <v>9</v>
      </c>
      <c r="H10" s="18">
        <v>9</v>
      </c>
      <c r="L10" s="18" t="s">
        <v>534</v>
      </c>
      <c r="M10" s="22" t="s">
        <v>514</v>
      </c>
      <c r="N10" s="18" t="s">
        <v>533</v>
      </c>
      <c r="R10" s="18">
        <v>20</v>
      </c>
    </row>
    <row r="11" spans="1:21">
      <c r="E11" s="18">
        <v>30</v>
      </c>
      <c r="G11" s="18">
        <v>10</v>
      </c>
      <c r="H11" s="18">
        <v>10</v>
      </c>
      <c r="L11" s="18" t="s">
        <v>532</v>
      </c>
      <c r="M11" s="22" t="s">
        <v>531</v>
      </c>
      <c r="N11" s="18" t="s">
        <v>530</v>
      </c>
      <c r="R11" s="18">
        <v>21</v>
      </c>
    </row>
    <row r="12" spans="1:21">
      <c r="E12" s="18">
        <v>31</v>
      </c>
      <c r="G12" s="18">
        <v>11</v>
      </c>
      <c r="H12" s="18">
        <v>11</v>
      </c>
      <c r="L12" s="18" t="s">
        <v>529</v>
      </c>
      <c r="M12" s="22" t="s">
        <v>528</v>
      </c>
      <c r="N12" s="18" t="s">
        <v>527</v>
      </c>
      <c r="R12" s="18">
        <v>22</v>
      </c>
    </row>
    <row r="13" spans="1:21">
      <c r="E13" s="18">
        <v>1</v>
      </c>
      <c r="G13" s="18">
        <v>12</v>
      </c>
      <c r="H13" s="18">
        <v>12</v>
      </c>
      <c r="L13" s="18" t="s">
        <v>217</v>
      </c>
      <c r="M13" s="22" t="s">
        <v>513</v>
      </c>
      <c r="R13" s="18">
        <v>23</v>
      </c>
    </row>
    <row r="14" spans="1:21">
      <c r="E14" s="18">
        <v>2</v>
      </c>
      <c r="G14" s="18">
        <v>13</v>
      </c>
      <c r="M14" s="22" t="s">
        <v>526</v>
      </c>
      <c r="R14" s="18">
        <v>24</v>
      </c>
    </row>
    <row r="15" spans="1:21">
      <c r="E15" s="18">
        <v>3</v>
      </c>
      <c r="G15" s="18">
        <v>14</v>
      </c>
      <c r="M15" s="22" t="s">
        <v>512</v>
      </c>
      <c r="R15" s="18">
        <v>25</v>
      </c>
    </row>
    <row r="16" spans="1:21">
      <c r="E16" s="18">
        <v>4</v>
      </c>
      <c r="G16" s="18">
        <v>15</v>
      </c>
      <c r="M16" s="22" t="s">
        <v>511</v>
      </c>
      <c r="R16" s="18">
        <v>26</v>
      </c>
    </row>
    <row r="17" spans="5:18">
      <c r="E17" s="18">
        <v>5</v>
      </c>
      <c r="G17" s="18">
        <v>16</v>
      </c>
      <c r="M17" s="22" t="s">
        <v>510</v>
      </c>
      <c r="R17" s="18">
        <v>27</v>
      </c>
    </row>
    <row r="18" spans="5:18">
      <c r="E18" s="18">
        <v>6</v>
      </c>
      <c r="G18" s="18">
        <v>17</v>
      </c>
      <c r="M18" s="22" t="s">
        <v>509</v>
      </c>
      <c r="R18" s="18">
        <v>28</v>
      </c>
    </row>
    <row r="19" spans="5:18">
      <c r="E19" s="18">
        <v>7</v>
      </c>
      <c r="G19" s="18">
        <v>18</v>
      </c>
      <c r="M19" s="22" t="s">
        <v>508</v>
      </c>
      <c r="R19" s="18">
        <v>29</v>
      </c>
    </row>
    <row r="20" spans="5:18">
      <c r="E20" s="18">
        <v>8</v>
      </c>
      <c r="G20" s="18">
        <v>19</v>
      </c>
      <c r="M20" s="22" t="s">
        <v>507</v>
      </c>
      <c r="R20" s="18">
        <v>30</v>
      </c>
    </row>
    <row r="21" spans="5:18">
      <c r="E21" s="18">
        <v>9</v>
      </c>
      <c r="G21" s="18">
        <v>20</v>
      </c>
      <c r="R21" s="18">
        <v>31</v>
      </c>
    </row>
    <row r="22" spans="5:18">
      <c r="E22" s="18">
        <v>10</v>
      </c>
      <c r="G22" s="18">
        <v>21</v>
      </c>
      <c r="R22" s="18">
        <v>32</v>
      </c>
    </row>
    <row r="23" spans="5:18">
      <c r="G23" s="18">
        <v>22</v>
      </c>
      <c r="R23" s="18">
        <v>33</v>
      </c>
    </row>
    <row r="24" spans="5:18">
      <c r="G24" s="18">
        <v>23</v>
      </c>
      <c r="R24" s="18">
        <v>34</v>
      </c>
    </row>
    <row r="25" spans="5:18">
      <c r="G25" s="18">
        <v>24</v>
      </c>
      <c r="R25" s="18">
        <v>35</v>
      </c>
    </row>
    <row r="26" spans="5:18">
      <c r="G26" s="18">
        <v>25</v>
      </c>
      <c r="R26" s="18">
        <v>36</v>
      </c>
    </row>
    <row r="27" spans="5:18">
      <c r="G27" s="18">
        <v>26</v>
      </c>
      <c r="R27" s="18">
        <v>37</v>
      </c>
    </row>
    <row r="28" spans="5:18">
      <c r="G28" s="18">
        <v>27</v>
      </c>
      <c r="R28" s="18">
        <v>38</v>
      </c>
    </row>
    <row r="29" spans="5:18">
      <c r="G29" s="18">
        <v>28</v>
      </c>
      <c r="R29" s="18">
        <v>39</v>
      </c>
    </row>
    <row r="30" spans="5:18">
      <c r="G30" s="18">
        <v>29</v>
      </c>
      <c r="R30" s="18">
        <v>40</v>
      </c>
    </row>
    <row r="31" spans="5:18">
      <c r="G31" s="18">
        <v>30</v>
      </c>
      <c r="R31" s="18">
        <v>41</v>
      </c>
    </row>
    <row r="32" spans="5:18">
      <c r="G32" s="18">
        <v>31</v>
      </c>
      <c r="R32" s="18">
        <v>42</v>
      </c>
    </row>
    <row r="33" spans="18:18">
      <c r="R33" s="18">
        <v>43</v>
      </c>
    </row>
    <row r="34" spans="18:18">
      <c r="R34" s="18">
        <v>44</v>
      </c>
    </row>
    <row r="35" spans="18:18">
      <c r="R35" s="18">
        <v>45</v>
      </c>
    </row>
    <row r="36" spans="18:18">
      <c r="R36" s="18">
        <v>46</v>
      </c>
    </row>
    <row r="37" spans="18:18">
      <c r="R37" s="18">
        <v>99</v>
      </c>
    </row>
  </sheetData>
  <phoneticPr fontId="57"/>
  <hyperlinks>
    <hyperlink ref="A1" location="トップ!A1" display="トップ"/>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E50"/>
  <sheetViews>
    <sheetView workbookViewId="0">
      <selection activeCell="E5" sqref="E5"/>
    </sheetView>
  </sheetViews>
  <sheetFormatPr defaultColWidth="9" defaultRowHeight="13.5"/>
  <cols>
    <col min="1" max="1" width="24.5" customWidth="1"/>
    <col min="2" max="2" width="25.75" bestFit="1" customWidth="1"/>
    <col min="3" max="3" width="43.25" bestFit="1" customWidth="1"/>
    <col min="5" max="5" width="22.5" bestFit="1" customWidth="1"/>
    <col min="7" max="7" width="19.625" customWidth="1"/>
  </cols>
  <sheetData>
    <row r="1" spans="1:5">
      <c r="B1" s="496" t="s">
        <v>2929</v>
      </c>
      <c r="C1" s="496" t="s">
        <v>2524</v>
      </c>
      <c r="D1" s="496" t="s">
        <v>2929</v>
      </c>
      <c r="E1" s="496" t="s">
        <v>2524</v>
      </c>
    </row>
    <row r="2" spans="1:5">
      <c r="A2" s="496" t="s">
        <v>46</v>
      </c>
      <c r="B2" s="330">
        <f>居住専用建築物コード</f>
        <v>0</v>
      </c>
      <c r="C2" s="496" t="str">
        <f>IF(B2=0,"",VLOOKUP(B2,A$9:C$13,3))</f>
        <v/>
      </c>
      <c r="D2" s="330">
        <f>居住専用建築物コード2</f>
        <v>0</v>
      </c>
      <c r="E2" s="496" t="str">
        <f>IF(D2=0,"",VLOOKUP(D2,A$9:C$13,3))</f>
        <v/>
      </c>
    </row>
    <row r="3" spans="1:5">
      <c r="A3" s="496" t="s">
        <v>47</v>
      </c>
      <c r="B3" s="330">
        <f>居住産業併用建築物コード</f>
        <v>0</v>
      </c>
      <c r="C3" s="496" t="str">
        <f>IF(B3=0,"",VLOOKUP(B3,A$14:C$50,3))</f>
        <v/>
      </c>
      <c r="D3" s="330">
        <f>居住産業併用建築物コード2</f>
        <v>0</v>
      </c>
      <c r="E3" s="496" t="str">
        <f>IF(D3=0,"",VLOOKUP(D3,A$14:C$50,3))</f>
        <v/>
      </c>
    </row>
    <row r="4" spans="1:5">
      <c r="A4" s="496" t="s">
        <v>48</v>
      </c>
      <c r="B4" s="330">
        <f>産業専用建築物コード</f>
        <v>0</v>
      </c>
      <c r="C4" s="496" t="str">
        <f>IF(B4=0,"",VLOOKUP(B4,A$14:C$50,3))</f>
        <v/>
      </c>
      <c r="D4" s="330">
        <f>産業専用建築物コード2</f>
        <v>0</v>
      </c>
      <c r="E4" s="496" t="str">
        <f>IF(D4=0,"",VLOOKUP(D4,A$14:C$50,3))</f>
        <v/>
      </c>
    </row>
    <row r="8" spans="1:5">
      <c r="A8" s="289" t="s">
        <v>2875</v>
      </c>
      <c r="B8" s="501" t="s">
        <v>2874</v>
      </c>
      <c r="C8" s="501"/>
    </row>
    <row r="9" spans="1:5" ht="13.5" customHeight="1">
      <c r="A9" s="289" t="s">
        <v>237</v>
      </c>
      <c r="B9" s="323"/>
      <c r="C9" s="322" t="s">
        <v>2876</v>
      </c>
    </row>
    <row r="10" spans="1:5" ht="13.5" customHeight="1">
      <c r="A10" s="289" t="s">
        <v>248</v>
      </c>
      <c r="B10" s="323"/>
      <c r="C10" s="322" t="s">
        <v>2877</v>
      </c>
    </row>
    <row r="11" spans="1:5" ht="13.5" customHeight="1">
      <c r="A11" s="289" t="s">
        <v>259</v>
      </c>
      <c r="B11" s="323"/>
      <c r="C11" s="322" t="s">
        <v>2878</v>
      </c>
    </row>
    <row r="12" spans="1:5" ht="13.5" customHeight="1">
      <c r="A12" s="289" t="s">
        <v>268</v>
      </c>
      <c r="B12" s="323"/>
      <c r="C12" s="322" t="s">
        <v>2879</v>
      </c>
    </row>
    <row r="13" spans="1:5" ht="13.5" customHeight="1" thickBot="1">
      <c r="A13" s="327" t="s">
        <v>278</v>
      </c>
      <c r="B13" s="328"/>
      <c r="C13" s="329" t="s">
        <v>2880</v>
      </c>
    </row>
    <row r="14" spans="1:5" ht="14.25" thickTop="1">
      <c r="A14" s="325">
        <v>11</v>
      </c>
      <c r="B14" s="326" t="s">
        <v>2881</v>
      </c>
      <c r="C14" s="326" t="s">
        <v>2882</v>
      </c>
    </row>
    <row r="15" spans="1:5">
      <c r="A15" s="324">
        <v>12</v>
      </c>
      <c r="B15" s="502" t="s">
        <v>2883</v>
      </c>
      <c r="C15" s="321" t="s">
        <v>2884</v>
      </c>
    </row>
    <row r="16" spans="1:5">
      <c r="A16" s="324">
        <v>13</v>
      </c>
      <c r="B16" s="502"/>
      <c r="C16" s="321" t="s">
        <v>2885</v>
      </c>
    </row>
    <row r="17" spans="1:3" ht="60">
      <c r="A17" s="324">
        <v>14</v>
      </c>
      <c r="B17" s="502" t="s">
        <v>2886</v>
      </c>
      <c r="C17" s="321" t="s">
        <v>2887</v>
      </c>
    </row>
    <row r="18" spans="1:3">
      <c r="A18" s="324">
        <v>15</v>
      </c>
      <c r="B18" s="502"/>
      <c r="C18" s="321" t="s">
        <v>2888</v>
      </c>
    </row>
    <row r="19" spans="1:3">
      <c r="A19" s="324">
        <v>16</v>
      </c>
      <c r="B19" s="502"/>
      <c r="C19" s="321" t="s">
        <v>2889</v>
      </c>
    </row>
    <row r="20" spans="1:3" ht="48">
      <c r="A20" s="324">
        <v>17</v>
      </c>
      <c r="B20" s="502"/>
      <c r="C20" s="321" t="s">
        <v>2890</v>
      </c>
    </row>
    <row r="21" spans="1:3" ht="24">
      <c r="A21" s="324">
        <v>18</v>
      </c>
      <c r="B21" s="502"/>
      <c r="C21" s="321" t="s">
        <v>2891</v>
      </c>
    </row>
    <row r="22" spans="1:3">
      <c r="A22" s="324">
        <v>19</v>
      </c>
      <c r="B22" s="502" t="s">
        <v>2892</v>
      </c>
      <c r="C22" s="321" t="s">
        <v>2893</v>
      </c>
    </row>
    <row r="23" spans="1:3">
      <c r="A23" s="324">
        <v>20</v>
      </c>
      <c r="B23" s="502"/>
      <c r="C23" s="321" t="s">
        <v>2894</v>
      </c>
    </row>
    <row r="24" spans="1:3">
      <c r="A24" s="324">
        <v>21</v>
      </c>
      <c r="B24" s="502"/>
      <c r="C24" s="321" t="s">
        <v>2895</v>
      </c>
    </row>
    <row r="25" spans="1:3">
      <c r="A25" s="324">
        <v>22</v>
      </c>
      <c r="B25" s="502"/>
      <c r="C25" s="321" t="s">
        <v>2896</v>
      </c>
    </row>
    <row r="26" spans="1:3">
      <c r="A26" s="324">
        <v>23</v>
      </c>
      <c r="B26" s="502" t="s">
        <v>2897</v>
      </c>
      <c r="C26" s="321" t="s">
        <v>2898</v>
      </c>
    </row>
    <row r="27" spans="1:3" ht="24">
      <c r="A27" s="324">
        <v>24</v>
      </c>
      <c r="B27" s="502"/>
      <c r="C27" s="321" t="s">
        <v>2899</v>
      </c>
    </row>
    <row r="28" spans="1:3" ht="24">
      <c r="A28" s="324">
        <v>25</v>
      </c>
      <c r="B28" s="502"/>
      <c r="C28" s="321" t="s">
        <v>2900</v>
      </c>
    </row>
    <row r="29" spans="1:3" ht="24">
      <c r="A29" s="324">
        <v>26</v>
      </c>
      <c r="B29" s="502"/>
      <c r="C29" s="321" t="s">
        <v>2901</v>
      </c>
    </row>
    <row r="30" spans="1:3" ht="24">
      <c r="A30" s="324">
        <v>27</v>
      </c>
      <c r="B30" s="321" t="s">
        <v>2902</v>
      </c>
      <c r="C30" s="321" t="s">
        <v>2903</v>
      </c>
    </row>
    <row r="31" spans="1:3">
      <c r="A31" s="324">
        <v>28</v>
      </c>
      <c r="B31" s="321" t="s">
        <v>2904</v>
      </c>
      <c r="C31" s="321" t="s">
        <v>2904</v>
      </c>
    </row>
    <row r="32" spans="1:3">
      <c r="A32" s="324">
        <v>29</v>
      </c>
      <c r="B32" s="321" t="s">
        <v>2905</v>
      </c>
      <c r="C32" s="321" t="s">
        <v>2905</v>
      </c>
    </row>
    <row r="33" spans="1:3" ht="24">
      <c r="A33" s="324">
        <v>30</v>
      </c>
      <c r="B33" s="502" t="s">
        <v>2906</v>
      </c>
      <c r="C33" s="321" t="s">
        <v>2907</v>
      </c>
    </row>
    <row r="34" spans="1:3">
      <c r="A34" s="324">
        <v>31</v>
      </c>
      <c r="B34" s="502"/>
      <c r="C34" s="321" t="s">
        <v>2908</v>
      </c>
    </row>
    <row r="35" spans="1:3">
      <c r="A35" s="324">
        <v>32</v>
      </c>
      <c r="B35" s="502" t="s">
        <v>2909</v>
      </c>
      <c r="C35" s="321" t="s">
        <v>2910</v>
      </c>
    </row>
    <row r="36" spans="1:3">
      <c r="A36" s="324">
        <v>33</v>
      </c>
      <c r="B36" s="502"/>
      <c r="C36" s="321" t="s">
        <v>2911</v>
      </c>
    </row>
    <row r="37" spans="1:3">
      <c r="A37" s="324">
        <v>34</v>
      </c>
      <c r="B37" s="502" t="s">
        <v>2912</v>
      </c>
      <c r="C37" s="321" t="s">
        <v>2913</v>
      </c>
    </row>
    <row r="38" spans="1:3">
      <c r="A38" s="324">
        <v>35</v>
      </c>
      <c r="B38" s="502"/>
      <c r="C38" s="321" t="s">
        <v>2914</v>
      </c>
    </row>
    <row r="39" spans="1:3" ht="24">
      <c r="A39" s="324">
        <v>36</v>
      </c>
      <c r="B39" s="502"/>
      <c r="C39" s="321" t="s">
        <v>2915</v>
      </c>
    </row>
    <row r="40" spans="1:3" ht="24">
      <c r="A40" s="324">
        <v>37</v>
      </c>
      <c r="B40" s="502"/>
      <c r="C40" s="321" t="s">
        <v>2916</v>
      </c>
    </row>
    <row r="41" spans="1:3">
      <c r="A41" s="324">
        <v>38</v>
      </c>
      <c r="B41" s="502" t="s">
        <v>2917</v>
      </c>
      <c r="C41" s="321" t="s">
        <v>2918</v>
      </c>
    </row>
    <row r="42" spans="1:3">
      <c r="A42" s="324">
        <v>39</v>
      </c>
      <c r="B42" s="502"/>
      <c r="C42" s="321" t="s">
        <v>2919</v>
      </c>
    </row>
    <row r="43" spans="1:3">
      <c r="A43" s="324">
        <v>40</v>
      </c>
      <c r="B43" s="502" t="s">
        <v>2920</v>
      </c>
      <c r="C43" s="321" t="s">
        <v>2921</v>
      </c>
    </row>
    <row r="44" spans="1:3">
      <c r="A44" s="324">
        <v>41</v>
      </c>
      <c r="B44" s="502"/>
      <c r="C44" s="321" t="s">
        <v>2922</v>
      </c>
    </row>
    <row r="45" spans="1:3">
      <c r="A45" s="324">
        <v>42</v>
      </c>
      <c r="B45" s="502"/>
      <c r="C45" s="321" t="s">
        <v>2923</v>
      </c>
    </row>
    <row r="46" spans="1:3">
      <c r="A46" s="324">
        <v>43</v>
      </c>
      <c r="B46" s="502"/>
      <c r="C46" s="321" t="s">
        <v>2924</v>
      </c>
    </row>
    <row r="47" spans="1:3">
      <c r="A47" s="324">
        <v>44</v>
      </c>
      <c r="B47" s="502"/>
      <c r="C47" s="321" t="s">
        <v>2925</v>
      </c>
    </row>
    <row r="48" spans="1:3" ht="60">
      <c r="A48" s="324">
        <v>45</v>
      </c>
      <c r="B48" s="502"/>
      <c r="C48" s="321" t="s">
        <v>2926</v>
      </c>
    </row>
    <row r="49" spans="1:3">
      <c r="A49" s="324">
        <v>46</v>
      </c>
      <c r="B49" s="321" t="s">
        <v>2927</v>
      </c>
      <c r="C49" s="321" t="s">
        <v>2927</v>
      </c>
    </row>
    <row r="50" spans="1:3">
      <c r="A50" s="324">
        <v>99</v>
      </c>
      <c r="B50" s="321" t="s">
        <v>2928</v>
      </c>
      <c r="C50" s="321" t="s">
        <v>2928</v>
      </c>
    </row>
  </sheetData>
  <mergeCells count="10">
    <mergeCell ref="B8:C8"/>
    <mergeCell ref="B35:B36"/>
    <mergeCell ref="B37:B40"/>
    <mergeCell ref="B41:B42"/>
    <mergeCell ref="B43:B48"/>
    <mergeCell ref="B15:B16"/>
    <mergeCell ref="B17:B21"/>
    <mergeCell ref="B22:B25"/>
    <mergeCell ref="B26:B29"/>
    <mergeCell ref="B33:B34"/>
  </mergeCells>
  <phoneticPr fontId="57"/>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2046</vt:i4>
      </vt:variant>
    </vt:vector>
  </HeadingPairs>
  <TitlesOfParts>
    <vt:vector size="2054" baseType="lpstr">
      <vt:lpstr>dSHEET</vt:lpstr>
      <vt:lpstr>dSTART</vt:lpstr>
      <vt:lpstr>dAName</vt:lpstr>
      <vt:lpstr>DATA</vt:lpstr>
      <vt:lpstr>cst_DATA</vt:lpstr>
      <vt:lpstr>項目リスト</vt:lpstr>
      <vt:lpstr>連絡担当者票</vt:lpstr>
      <vt:lpstr>第四面</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cst__output_sheetname</vt:lpstr>
      <vt:lpstr>cst__output_title</vt:lpstr>
      <vt:lpstr>cst_ISSUE_DATE_select</vt:lpstr>
      <vt:lpstr>cst_ISSUE_KOUFU_NAME_select</vt:lpstr>
      <vt:lpstr>cst_ISSUE_NO_select</vt:lpstr>
      <vt:lpstr>cst_koujikikan_month</vt:lpstr>
      <vt:lpstr>cst_koujikikan_year</vt:lpstr>
      <vt:lpstr>cst_Pre_Corp__SHINSEI</vt:lpstr>
      <vt:lpstr>cst_Pre_Daihyou__SHINSEI</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cst_wsjob__address</vt:lpstr>
      <vt:lpstr>cst_wsjob_BUILD_ADDRESS</vt:lpstr>
      <vt:lpstr>cst_wsjob_BUILD_KEN</vt:lpstr>
      <vt:lpstr>cst_wsjob_JOB_KIND</vt:lpstr>
      <vt:lpstr>cst_wsjob_JOB_KIND_final_box</vt:lpstr>
      <vt:lpstr>cst_wsjob_JOB_KIND_inter_box</vt:lpstr>
      <vt:lpstr>cst_wsjob_JOB_KIND_kakunin_box</vt:lpstr>
      <vt:lpstr>cst_wsjob_JOB_SET_KIND</vt:lpstr>
      <vt:lpstr>cst_wsjob_KENTIKUBUTU_box</vt:lpstr>
      <vt:lpstr>cst_wsjob_KOUSAKUBUTU_box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cst_wskakunin_koutei_izen01_umu</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cst_wskakunin_koutei01_umu</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cst_wskakunin_owner3__space3</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cst_wskakunin_p4_1_YUKA_MENSEKI_SHINSEI</vt:lpstr>
      <vt:lpstr>cst_wskakunin_p4_2_KAISU_TIKAI</vt:lpstr>
      <vt:lpstr>cst_wskakunin_p4_2_KAISU_TIKAI_NOZOKU</vt:lpstr>
      <vt:lpstr>cst_wskakunin_p4_2_YUKA_MENSEKI_SHINSEI</vt:lpstr>
      <vt:lpstr>cst_wskakunin_p4_3_KAISU_TIKAI</vt:lpstr>
      <vt:lpstr>cst_wskakunin_p4_3_KAISU_TIKAI_NOZOKU</vt:lpstr>
      <vt:lpstr>cst_wskakunin_p4_3_YUKA_MENSEKI_SHINSEI</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cst_wskakunin_SHIKITI_MENSEKI_1_TOTAL_sintiku</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cst_wskakunin_YOUTO_TIIKI_A</vt:lpstr>
      <vt:lpstr>cst_wskakunin_YOUTO_TIIKI_B</vt:lpstr>
      <vt:lpstr>cst_wskakunin_YOUTO_TIIKI_C</vt:lpstr>
      <vt:lpstr>cst_wskakunin_YOUTO_TIIKI_D</vt:lpstr>
      <vt:lpstr>cst_wssonota_owner1__address</vt:lpstr>
      <vt:lpstr>cst_wssonota_owner1__space</vt:lpstr>
      <vt:lpstr>cst_wssonota_owner1_JIMU_NAME</vt:lpstr>
      <vt:lpstr>cst_wssonota_owner1_NAME</vt:lpstr>
      <vt:lpstr>cst_wssonota_owner1_POST</vt:lpstr>
      <vt:lpstr>cst_wssonota_owner1_TEL</vt:lpstr>
      <vt:lpstr>cst_wssonota_owner1_ZIP</vt:lpstr>
      <vt:lpstr>委任状!Print_Area</vt:lpstr>
      <vt:lpstr>記載事項変更届!Print_Area</vt:lpstr>
      <vt:lpstr>計画廃止届!Print_Area</vt:lpstr>
      <vt:lpstr>軽微な変更説明書!Print_Area</vt:lpstr>
      <vt:lpstr>建築工事届!Print_Area</vt:lpstr>
      <vt:lpstr>工事監理計画届!Print_Area</vt:lpstr>
      <vt:lpstr>取下げ届_仮使用!Print_Area</vt:lpstr>
      <vt:lpstr>取下げ届_確認!Print_Area</vt:lpstr>
      <vt:lpstr>取下げ届_完了!Print_Area</vt:lpstr>
      <vt:lpstr>取下げ届_中間!Print_Area</vt:lpstr>
      <vt:lpstr>第四面!Print_Area</vt:lpstr>
      <vt:lpstr>届出者別紙!Print_Area</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showsheetflag_dAName</vt:lpstr>
      <vt:lpstr>showsheetflag_DATA</vt:lpstr>
      <vt:lpstr>showsheetflag_dSHEET</vt:lpstr>
      <vt:lpstr>showsheetflag_dSTART</vt:lpstr>
      <vt:lpstr>showsheetflag_NoObject</vt:lpstr>
      <vt:lpstr>showsheetflag_リスト</vt:lpstr>
      <vt:lpstr>showsheetflag_委任状</vt:lpstr>
      <vt:lpstr>showsheetflag_記載事項変更届</vt:lpstr>
      <vt:lpstr>showsheetflag_計画廃止届</vt:lpstr>
      <vt:lpstr>showsheetflag_軽微な変更説明書</vt:lpstr>
      <vt:lpstr>showsheetflag_建築工事届</vt:lpstr>
      <vt:lpstr>showsheetflag_建築工事届_主要用途</vt:lpstr>
      <vt:lpstr>showsheetflag_建築主別紙</vt:lpstr>
      <vt:lpstr>showsheetflag_工事監理計画届</vt:lpstr>
      <vt:lpstr>showsheetflag_項目リスト</vt:lpstr>
      <vt:lpstr>showsheetflag_取下げ届_仮使用</vt:lpstr>
      <vt:lpstr>showsheetflag_取下げ届_確認</vt:lpstr>
      <vt:lpstr>showsheetflag_取下げ届_完了</vt:lpstr>
      <vt:lpstr>showsheetflag_取下げ届_中間</vt:lpstr>
      <vt:lpstr>showsheetflag_浄化槽概要書・通知書_静岡県</vt:lpstr>
      <vt:lpstr>showsheetflag_説明</vt:lpstr>
      <vt:lpstr>showsheetflag_届出者別紙</vt:lpstr>
      <vt:lpstr>showsheetflag_様式未設定</vt:lpstr>
      <vt:lpstr>showsheetflag_用途の区分</vt:lpstr>
      <vt:lpstr>showsheetflag_連絡担当者票</vt:lpstr>
      <vt:lpstr>wsjob__address</vt:lpstr>
      <vt:lpstr>wsjob_BUILD__address</vt:lpstr>
      <vt:lpstr>wsjob_BUILD_ADDRESS</vt:lpstr>
      <vt:lpstr>wsjob_BUILD_KEN</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wskakunin_p4_1_YUKA_MENSEKI_SHINSEI</vt:lpstr>
      <vt:lpstr>wskakunin_p4_2_KAISU_TIKAI</vt:lpstr>
      <vt:lpstr>wskakunin_p4_2_KAISU_TIKAI_NOZOKU</vt:lpstr>
      <vt:lpstr>wskakunin_p4_2_YUKA_MENSEKI_SHINSEI</vt:lpstr>
      <vt:lpstr>wskakunin_p4_3_KAISU_TIKAI</vt:lpstr>
      <vt:lpstr>wskakunin_p4_3_KAISU_TIKAI_NOZOKU</vt:lpstr>
      <vt:lpstr>wskakunin_p4_3_YUKA_MENSEKI_SHINSEI</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wssonota_owner1__address</vt:lpstr>
      <vt:lpstr>wssonota_owner1_JIMU_NAME</vt:lpstr>
      <vt:lpstr>wssonota_owner1_JIMU_NAME_KANA</vt:lpstr>
      <vt:lpstr>wssonota_owner1_NAME</vt:lpstr>
      <vt:lpstr>wssonota_owner1_NAME_KANA</vt:lpstr>
      <vt:lpstr>wssonota_owner1_POST</vt:lpstr>
      <vt:lpstr>wssonota_owner1_POST_KANA</vt:lpstr>
      <vt:lpstr>wssonota_owner1_TEL</vt:lpstr>
      <vt:lpstr>wssonota_owner1_ZIP</vt:lpstr>
      <vt:lpstr>しろくろ</vt:lpstr>
      <vt:lpstr>チェック</vt:lpstr>
      <vt:lpstr>はんとく</vt:lpstr>
      <vt:lpstr>一級</vt:lpstr>
      <vt:lpstr>外壁後退</vt:lpstr>
      <vt:lpstr>確認図形</vt:lpstr>
      <vt:lpstr>確変</vt:lpstr>
      <vt:lpstr>居住産業併用建築物コード</vt:lpstr>
      <vt:lpstr>居住産業併用建築物コード2</vt:lpstr>
      <vt:lpstr>居住産業併用建築物テキスト</vt:lpstr>
      <vt:lpstr>居住産業併用建築物テキスト2</vt:lpstr>
      <vt:lpstr>居住専用建築物コード</vt:lpstr>
      <vt:lpstr>居住専用建築物コード2</vt:lpstr>
      <vt:lpstr>居住専用建築物テキスト</vt:lpstr>
      <vt:lpstr>居住専用建築物テキスト2</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号</vt:lpstr>
      <vt:lpstr>産業専用建築物コード</vt:lpstr>
      <vt:lpstr>産業専用建築物コード2</vt:lpstr>
      <vt:lpstr>産業専用建築物テキスト</vt:lpstr>
      <vt:lpstr>産業専用建築物テキスト2</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中間検査図形</vt:lpstr>
      <vt:lpstr>都道府県</vt:lpstr>
      <vt:lpstr>特定工程</vt:lpstr>
      <vt:lpstr>二級</vt:lpstr>
      <vt:lpstr>年度</vt:lpstr>
      <vt:lpstr>非表示</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mshizuoka052</cp:lastModifiedBy>
  <cp:lastPrinted>2023-04-07T03:09:23Z</cp:lastPrinted>
  <dcterms:created xsi:type="dcterms:W3CDTF">2016-04-05T10:41:15Z</dcterms:created>
  <dcterms:modified xsi:type="dcterms:W3CDTF">2023-04-07T04:01:58Z</dcterms:modified>
</cp:coreProperties>
</file>