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shizuoka052\Desktop\"/>
    </mc:Choice>
  </mc:AlternateContent>
  <bookViews>
    <workbookView xWindow="0" yWindow="0" windowWidth="17250" windowHeight="10830" tabRatio="908" firstSheet="10" activeTab="10"/>
  </bookViews>
  <sheets>
    <sheet name="dSHEET" sheetId="1" state="hidden" r:id="rId1"/>
    <sheet name="dSTART" sheetId="2" state="hidden" r:id="rId2"/>
    <sheet name="dAName" sheetId="75" state="hidden" r:id="rId3"/>
    <sheet name="DATA" sheetId="3" state="hidden" r:id="rId4"/>
    <sheet name="cst_DATA" sheetId="4" state="hidden" r:id="rId5"/>
    <sheet name="項目リスト" sheetId="5" state="hidden" r:id="rId6"/>
    <sheet name="用途の区分" sheetId="6" state="veryHidden" r:id="rId7"/>
    <sheet name="リスト" sheetId="7" state="veryHidden" r:id="rId8"/>
    <sheet name="建築工事届_主要用途" sheetId="76" state="veryHidden" r:id="rId9"/>
    <sheet name="委任状" sheetId="77" state="veryHidden" r:id="rId10"/>
    <sheet name="連絡担当者票" sheetId="83" r:id="rId11"/>
    <sheet name="建築工事届" sheetId="80" state="veryHidden" r:id="rId12"/>
    <sheet name="第四面" sheetId="68" state="hidden" r:id="rId13"/>
    <sheet name="工事監理計画届" sheetId="81" state="veryHidden" r:id="rId14"/>
    <sheet name="浄化槽概要書・通知書_静岡県" sheetId="78" state="veryHidden" r:id="rId15"/>
    <sheet name="記載事項変更届" sheetId="70" state="veryHidden" r:id="rId16"/>
    <sheet name="軽微な変更説明書" sheetId="79" state="veryHidden" r:id="rId17"/>
    <sheet name="取下げ届_確認" sheetId="72" state="veryHidden" r:id="rId18"/>
    <sheet name="取下げ届_中間" sheetId="73" state="veryHidden" r:id="rId19"/>
    <sheet name="取下げ届_完了" sheetId="74" state="veryHidden" r:id="rId20"/>
    <sheet name="取下げ届_仮使用" sheetId="84" state="veryHidden" r:id="rId21"/>
    <sheet name="計画廃止届" sheetId="69" state="veryHidden" r:id="rId22"/>
    <sheet name="建築主別紙" sheetId="86" state="veryHidden" r:id="rId23"/>
    <sheet name="届出者別紙" sheetId="85" state="veryHidden" r:id="rId24"/>
    <sheet name="様式未設定" sheetId="82" state="veryHidden" r:id="rId25"/>
  </sheets>
  <definedNames>
    <definedName name="__IntlFixup" hidden="1">TRUE</definedName>
    <definedName name="__IntlFixupTable" localSheetId="9" hidden="1">#REF!</definedName>
    <definedName name="__IntlFixupTable" localSheetId="15" hidden="1">#REF!</definedName>
    <definedName name="__IntlFixupTable" localSheetId="21" hidden="1">#REF!</definedName>
    <definedName name="__IntlFixupTable" localSheetId="16" hidden="1">#REF!</definedName>
    <definedName name="__IntlFixupTable" localSheetId="11" hidden="1">#REF!</definedName>
    <definedName name="__IntlFixupTable" localSheetId="13" hidden="1">#REF!</definedName>
    <definedName name="__IntlFixupTable" localSheetId="20" hidden="1">#REF!</definedName>
    <definedName name="__IntlFixupTable" localSheetId="17" hidden="1">#REF!</definedName>
    <definedName name="__IntlFixupTable" localSheetId="19" hidden="1">#REF!</definedName>
    <definedName name="__IntlFixupTable" localSheetId="18" hidden="1">#REF!</definedName>
    <definedName name="__IntlFixupTable" localSheetId="14" hidden="1">#REF!</definedName>
    <definedName name="__IntlFixupTable" localSheetId="12" hidden="1">#REF!</definedName>
    <definedName name="__IntlFixupTable" hidden="1">#REF!</definedName>
    <definedName name="_１級">リスト!$A$3</definedName>
    <definedName name="_output_sheetname">DATA!$D$9</definedName>
    <definedName name="_output_title">DATA!$D$7</definedName>
    <definedName name="AAA_01" localSheetId="9" hidden="1">#REF!</definedName>
    <definedName name="AAA_01" localSheetId="15" hidden="1">#REF!</definedName>
    <definedName name="AAA_01" localSheetId="21" hidden="1">#REF!</definedName>
    <definedName name="AAA_01" localSheetId="16" hidden="1">#REF!</definedName>
    <definedName name="AAA_01" localSheetId="11" hidden="1">#REF!</definedName>
    <definedName name="AAA_01" localSheetId="13" hidden="1">#REF!</definedName>
    <definedName name="AAA_01" localSheetId="20" hidden="1">#REF!</definedName>
    <definedName name="AAA_01" localSheetId="17" hidden="1">#REF!</definedName>
    <definedName name="AAA_01" localSheetId="19" hidden="1">#REF!</definedName>
    <definedName name="AAA_01" localSheetId="18" hidden="1">#REF!</definedName>
    <definedName name="AAA_01" localSheetId="14" hidden="1">#REF!</definedName>
    <definedName name="AAA_01" localSheetId="12" hidden="1">#REF!</definedName>
    <definedName name="AAA_01" hidden="1">#REF!</definedName>
    <definedName name="chk_INTER_state_in_final">DATA!$F$28</definedName>
    <definedName name="chk_INTER1_state_in_conf">DATA!$F$25</definedName>
    <definedName name="chk_INTER2_state_in_conf">DATA!$F$26</definedName>
    <definedName name="chk_INTER3_state_in_conf">DATA!$F$27</definedName>
    <definedName name="chk_JOB_KIND_kakunin">DATA!$F$24</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DATA!$F$30</definedName>
    <definedName name="cst_ISSUE_KOUFU_NAME_select">DATA!$F$62</definedName>
    <definedName name="cst_ISSUE_NO_select">DATA!$F$29</definedName>
    <definedName name="cst_koujikikan_month">DATA!$F$1153</definedName>
    <definedName name="cst_koujikikan_year">DATA!$F$1152</definedName>
    <definedName name="cst_Pre_Corp__SHINSEI">dAName!$F$18</definedName>
    <definedName name="cst_Pre_Daihyou__SHINSEI">dAName!$G$18</definedName>
    <definedName name="cst_shinsei_build_p6_01_PAGE6_KOUZOU_KEISAN_KIND__002">DATA!$F$50</definedName>
    <definedName name="cst_shinsei_build_p6_01_PAGE6_KOUZOU_KEISAN_KIND__004">DATA!$F$49</definedName>
    <definedName name="cst_shinsei_build_p6_01_PAGE6_KOUZOU_KEISAN_KIND__005">DATA!$F$48</definedName>
    <definedName name="cst_shinsei_build_YOUTO">DATA!$F$1335</definedName>
    <definedName name="cst_shinsei_HIKIUKE_DATE">DATA!$F$38</definedName>
    <definedName name="cst_shinsei_ISSUE_DATE">DATA!$F$43</definedName>
    <definedName name="cst_shinsei_ISSUE_KOUFU_NAME">DATA!$F$45</definedName>
    <definedName name="cst_shinsei_ISSUE_NO">DATA!$F$40</definedName>
    <definedName name="cst_shinsei_KAKU_SUMI_NO">DATA!$F$41</definedName>
    <definedName name="cst_shinsei_KAKUNIN_ISSUE_NO">DATA!$F$60</definedName>
    <definedName name="cst_shinsei_KAKUNIN_KOUFU_DATE">DATA!$F$63</definedName>
    <definedName name="cst_shinsei_PROVO_DATE">DATA!$F$32</definedName>
    <definedName name="cst_shinsei_PROVO_NO">DATA!$F$33</definedName>
    <definedName name="cst_shinsei_UKETUKE_NO">DATA!$F$36</definedName>
    <definedName name="cst_shinsei_UNIT_COUNT">DATA!$F$977</definedName>
    <definedName name="cst_wsjob__address">DATA!$F$83</definedName>
    <definedName name="cst_wsjob_BUILD_ADDRESS">DATA!$F$86</definedName>
    <definedName name="cst_wsjob_BUILD_KEN">DATA!$F$85</definedName>
    <definedName name="cst_wsjob_JOB_KIND">DATA!$F$17</definedName>
    <definedName name="cst_wsjob_JOB_KIND_final_box">DATA!$F$20</definedName>
    <definedName name="cst_wsjob_JOB_KIND_inter_box">DATA!$F$19</definedName>
    <definedName name="cst_wsjob_JOB_KIND_kakunin_box">DATA!$F$18</definedName>
    <definedName name="cst_wsjob_JOB_SET_KIND">DATA!$F$12</definedName>
    <definedName name="cst_wsjob_KENTIKUBUTU_box">DATA!$F$14</definedName>
    <definedName name="cst_wsjob_KOUSAKUBUTU_box">DATA!$F$16</definedName>
    <definedName name="cst_wsjob_SYOUKOUKI_box">DATA!$F$15</definedName>
    <definedName name="cst_wsjob_TARGET_KIND">DATA!$F$13</definedName>
    <definedName name="cst_wsjob_TARGET_KIND__label">DATA!$F$11</definedName>
    <definedName name="cst_wskakunin__bouka">DATA!$F$930</definedName>
    <definedName name="cst_wskakunin__kouji">DATA!$F$979</definedName>
    <definedName name="cst_wskakunin__kuiki">DATA!$F$921</definedName>
    <definedName name="cst_wskakunin__kuiki_box">DATA!$F$922</definedName>
    <definedName name="cst_wskakunin__tosi_kuiki">DATA!$F$924</definedName>
    <definedName name="cst_wskakunin_20kouzou101_KOUZOUSEKKEI_KOUFU_NO">DATA!$F$499</definedName>
    <definedName name="cst_wskakunin_20kouzou101_NAME">DATA!$F$498</definedName>
    <definedName name="cst_wskakunin_20kouzou102_KOUZOUSEKKEI_KOUFU_NO">DATA!$F$501</definedName>
    <definedName name="cst_wskakunin_20kouzou102_NAME">DATA!$F$500</definedName>
    <definedName name="cst_wskakunin_20kouzou103_KOUZOUSEKKEI_KOUFU_NO">DATA!$F$503</definedName>
    <definedName name="cst_wskakunin_20kouzou103_NAME">DATA!$F$502</definedName>
    <definedName name="cst_wskakunin_20kouzou104_KOUZOUSEKKEI_KOUFU_NO">DATA!$F$505</definedName>
    <definedName name="cst_wskakunin_20kouzou104_NAME">DATA!$F$504</definedName>
    <definedName name="cst_wskakunin_20kouzou105_KOUZOUSEKKEI_KOUFU_NO">DATA!$F$507</definedName>
    <definedName name="cst_wskakunin_20kouzou105_NAME">DATA!$F$506</definedName>
    <definedName name="cst_wskakunin_20kouzou301_KOUZOUSEKKEI_KOUFU_NO">DATA!$F$511</definedName>
    <definedName name="cst_wskakunin_20kouzou301_NAME">DATA!$F$510</definedName>
    <definedName name="cst_wskakunin_20kouzou302_KOUZOUSEKKEI_KOUFU_NO">DATA!$F$513</definedName>
    <definedName name="cst_wskakunin_20kouzou302_NAME">DATA!$F$512</definedName>
    <definedName name="cst_wskakunin_20kouzou303_KOUZOUSEKKEI_KOUFU_NO">DATA!$F$515</definedName>
    <definedName name="cst_wskakunin_20kouzou303_NAME">DATA!$F$514</definedName>
    <definedName name="cst_wskakunin_20kouzou304_KOUZOUSEKKEI_KOUFU_NO">DATA!$F$517</definedName>
    <definedName name="cst_wskakunin_20kouzou304_NAME">DATA!$F$516</definedName>
    <definedName name="cst_wskakunin_20kouzou305_KOUZOUSEKKEI_KOUFU_NO">DATA!$F$519</definedName>
    <definedName name="cst_wskakunin_20kouzou305_NAME">DATA!$F$518</definedName>
    <definedName name="cst_wskakunin_20setubi101_NAME">DATA!$F$522</definedName>
    <definedName name="cst_wskakunin_20setubi101_SETUBISEKKEI_KOUFU_NO">DATA!$F$523</definedName>
    <definedName name="cst_wskakunin_20setubi102_NAME">DATA!$F$524</definedName>
    <definedName name="cst_wskakunin_20setubi102_SETUBISEKKEI_KOUFU_NO">DATA!$F$525</definedName>
    <definedName name="cst_wskakunin_20setubi103_NAME">DATA!$F$526</definedName>
    <definedName name="cst_wskakunin_20setubi103_SETUBISEKKEI_KOUFU_NO">DATA!$F$527</definedName>
    <definedName name="cst_wskakunin_20setubi104_NAME">DATA!$F$528</definedName>
    <definedName name="cst_wskakunin_20setubi104_SETUBISEKKEI_KOUFU_NO">DATA!$F$529</definedName>
    <definedName name="cst_wskakunin_20setubi105_NAME">DATA!$F$530</definedName>
    <definedName name="cst_wskakunin_20setubi105_SETUBISEKKEI_KOUFU_NO">DATA!$F$531</definedName>
    <definedName name="cst_wskakunin_20setubi301_NAME">DATA!$F$534</definedName>
    <definedName name="cst_wskakunin_20setubi301_SETUBISEKKEI_KOUFU_NO">DATA!$F$535</definedName>
    <definedName name="cst_wskakunin_20setubi302_NAME">DATA!$F$536</definedName>
    <definedName name="cst_wskakunin_20setubi302_SETUBISEKKEI_KOUFU_NO">DATA!$F$537</definedName>
    <definedName name="cst_wskakunin_20setubi303_NAME">DATA!$F$538</definedName>
    <definedName name="cst_wskakunin_20setubi303_SETUBISEKKEI_KOUFU_NO">DATA!$F$539</definedName>
    <definedName name="cst_wskakunin_20setubi304_NAME">DATA!$F$540</definedName>
    <definedName name="cst_wskakunin_20setubi304_SETUBISEKKEI_KOUFU_NO">DATA!$F$541</definedName>
    <definedName name="cst_wskakunin_20setubi305_NAME">DATA!$F$542</definedName>
    <definedName name="cst_wskakunin_20setubi305_SETUBISEKKEI_KOUFU_NO">DATA!$F$543</definedName>
    <definedName name="cst_wskakunin_APPLICANT_NAME">DATA!$F$68</definedName>
    <definedName name="cst_wskakunin_BOUKA_22JYO">DATA!$F$934</definedName>
    <definedName name="cst_wskakunin_BOUKA_BOUKA">DATA!$F$931</definedName>
    <definedName name="cst_wskakunin_BOUKA_JYUN_BOUKA">DATA!$F$932</definedName>
    <definedName name="cst_wskakunin_BOUKA_NASI">DATA!$F$933</definedName>
    <definedName name="cst_wskakunin_BOUKA_SETUBI_FLAG">DATA!$F$1177</definedName>
    <definedName name="cst_wskakunin_BOUKA_SETUBI_FLAG_box_off">DATA!$F$1179</definedName>
    <definedName name="cst_wskakunin_BOUKA_SETUBI_FLAG_box_on">DATA!$F$1178</definedName>
    <definedName name="cst_wskakunin_BUILD__address">DATA!$F$910</definedName>
    <definedName name="cst_wskakunin_BUILD_ADDRESS">DATA!$F$912</definedName>
    <definedName name="cst_wskakunin_BUILD_JYUKYO__address">DATA!$F$915</definedName>
    <definedName name="cst_wskakunin_BUILD_JYUKYO_ADDRESS">DATA!$F$917</definedName>
    <definedName name="cst_wskakunin_BUILD_JYUKYO_KEN__ken">DATA!$F$916</definedName>
    <definedName name="cst_wskakunin_BUILD_KEN__ken">DATA!$F$911</definedName>
    <definedName name="cst_wskakunin_BUILD_NAME">DATA!$F$847</definedName>
    <definedName name="cst_wskakunin_BUILD_NAME_KANA">DATA!$F$848</definedName>
    <definedName name="cst_wskakunin_BUILD_SHINSEI_COUNT">DATA!$F$1092</definedName>
    <definedName name="cst_wskakunin_BUILD_SONOTA_COUNT">DATA!$F$1093</definedName>
    <definedName name="cst_wskakunin_dairi1__address">DATA!$F$215</definedName>
    <definedName name="cst_wskakunin_dairi1__sikaku">DATA!$F$203</definedName>
    <definedName name="cst_wskakunin_dairi1__space">DATA!$F$218</definedName>
    <definedName name="cst_wskakunin_dairi1_FAX">DATA!$F$217</definedName>
    <definedName name="cst_wskakunin_dairi1_JIMU__sikaku">DATA!$F$209</definedName>
    <definedName name="cst_wskakunin_dairi1_JIMU_NAME">DATA!$F$213</definedName>
    <definedName name="cst_wskakunin_dairi1_JIMU_NO">DATA!$F$212</definedName>
    <definedName name="cst_wskakunin_dairi1_JIMU_SIKAKU">DATA!$F$210</definedName>
    <definedName name="cst_wskakunin_dairi1_JIMU_TOUROKU_KIKAN">DATA!$F$211</definedName>
    <definedName name="cst_wskakunin_dairi1_KENTIKUSI_NO">DATA!$F$206</definedName>
    <definedName name="cst_wskakunin_dairi1_NAME">DATA!$F$207</definedName>
    <definedName name="cst_wskakunin_dairi1_NAME_KANA">DATA!$F$208</definedName>
    <definedName name="cst_wskakunin_dairi1_SIKAKU">DATA!$F$204</definedName>
    <definedName name="cst_wskakunin_dairi1_TEL">DATA!$F$216</definedName>
    <definedName name="cst_wskakunin_dairi1_TOUROKU_KIKAN">DATA!$F$205</definedName>
    <definedName name="cst_wskakunin_dairi1_ZIP">DATA!$F$214</definedName>
    <definedName name="cst_wskakunin_dairi2__address">DATA!$F$233</definedName>
    <definedName name="cst_wskakunin_dairi2__sikaku">DATA!$F$221</definedName>
    <definedName name="cst_wskakunin_dairi2__space">DATA!$F$236</definedName>
    <definedName name="cst_wskakunin_dairi2_FAX">DATA!$F$235</definedName>
    <definedName name="cst_wskakunin_dairi2_JIMU__sikaku">DATA!$F$227</definedName>
    <definedName name="cst_wskakunin_dairi2_JIMU_NAME">DATA!$F$231</definedName>
    <definedName name="cst_wskakunin_dairi2_JIMU_NO">DATA!$F$230</definedName>
    <definedName name="cst_wskakunin_dairi2_JIMU_SIKAKU">DATA!$F$228</definedName>
    <definedName name="cst_wskakunin_dairi2_JIMU_TOUROKU_KIKAN">DATA!$F$229</definedName>
    <definedName name="cst_wskakunin_dairi2_KENTIKUSI_NO">DATA!$F$224</definedName>
    <definedName name="cst_wskakunin_dairi2_NAME">DATA!$F$225</definedName>
    <definedName name="cst_wskakunin_dairi2_NAME_KANA">DATA!$F$226</definedName>
    <definedName name="cst_wskakunin_dairi2_SIKAKU">DATA!$F$222</definedName>
    <definedName name="cst_wskakunin_dairi2_TEL">DATA!$F$234</definedName>
    <definedName name="cst_wskakunin_dairi2_TOUROKU_KIKAN">DATA!$F$223</definedName>
    <definedName name="cst_wskakunin_dairi2_ZIP">DATA!$F$232</definedName>
    <definedName name="cst_wskakunin_dairi3__address">DATA!$F$251</definedName>
    <definedName name="cst_wskakunin_dairi3__sikaku">DATA!$F$239</definedName>
    <definedName name="cst_wskakunin_dairi3__space">DATA!$F$254</definedName>
    <definedName name="cst_wskakunin_dairi3_FAX">DATA!$F$253</definedName>
    <definedName name="cst_wskakunin_dairi3_JIMU__sikaku">DATA!$F$245</definedName>
    <definedName name="cst_wskakunin_dairi3_JIMU_NAME">DATA!$F$249</definedName>
    <definedName name="cst_wskakunin_dairi3_JIMU_NO">DATA!$F$248</definedName>
    <definedName name="cst_wskakunin_dairi3_JIMU_SIKAKU">DATA!$F$246</definedName>
    <definedName name="cst_wskakunin_dairi3_JIMU_TOUROKU_KIKAN">DATA!$F$247</definedName>
    <definedName name="cst_wskakunin_dairi3_KENTIKUSI_NO">DATA!$F$242</definedName>
    <definedName name="cst_wskakunin_dairi3_NAME">DATA!$F$243</definedName>
    <definedName name="cst_wskakunin_dairi3_NAME_KANA">DATA!$F$244</definedName>
    <definedName name="cst_wskakunin_dairi3_SIKAKU">DATA!$F$240</definedName>
    <definedName name="cst_wskakunin_dairi3_TEL">DATA!$F$252</definedName>
    <definedName name="cst_wskakunin_dairi3_TOUROKU_KIKAN">DATA!$F$241</definedName>
    <definedName name="cst_wskakunin_dairi3_ZIP">DATA!$F$250</definedName>
    <definedName name="cst_wskakunin_dairi4__address">DATA!$F$269</definedName>
    <definedName name="cst_wskakunin_dairi4__sikaku">DATA!$F$257</definedName>
    <definedName name="cst_wskakunin_dairi4__space">DATA!$F$272</definedName>
    <definedName name="cst_wskakunin_dairi4_FAX">DATA!$F$271</definedName>
    <definedName name="cst_wskakunin_dairi4_JIMU__sikaku">DATA!$F$263</definedName>
    <definedName name="cst_wskakunin_dairi4_JIMU_NAME">DATA!$F$267</definedName>
    <definedName name="cst_wskakunin_dairi4_JIMU_NO">DATA!$F$266</definedName>
    <definedName name="cst_wskakunin_dairi4_JIMU_SIKAKU">DATA!$F$264</definedName>
    <definedName name="cst_wskakunin_dairi4_JIMU_TOUROKU_KIKAN">DATA!$F$265</definedName>
    <definedName name="cst_wskakunin_dairi4_KENTIKUSI_NO">DATA!$F$260</definedName>
    <definedName name="cst_wskakunin_dairi4_NAME">DATA!$F$261</definedName>
    <definedName name="cst_wskakunin_dairi4_NAME_KANA">DATA!$F$262</definedName>
    <definedName name="cst_wskakunin_dairi4_SIKAKU">DATA!$F$258</definedName>
    <definedName name="cst_wskakunin_dairi4_TEL">DATA!$F$270</definedName>
    <definedName name="cst_wskakunin_dairi4_TOUROKU_KIKAN">DATA!$F$259</definedName>
    <definedName name="cst_wskakunin_dairi4_ZIP">DATA!$F$268</definedName>
    <definedName name="cst_wskakunin_dairi5__address">DATA!$F$287</definedName>
    <definedName name="cst_wskakunin_dairi5__sikaku">DATA!$F$275</definedName>
    <definedName name="cst_wskakunin_dairi5__space">DATA!$F$290</definedName>
    <definedName name="cst_wskakunin_dairi5_FAX">DATA!$F$289</definedName>
    <definedName name="cst_wskakunin_dairi5_JIMU__sikaku">DATA!$F$281</definedName>
    <definedName name="cst_wskakunin_dairi5_JIMU_NAME">DATA!$F$285</definedName>
    <definedName name="cst_wskakunin_dairi5_JIMU_NO">DATA!$F$284</definedName>
    <definedName name="cst_wskakunin_dairi5_JIMU_SIKAKU">DATA!$F$282</definedName>
    <definedName name="cst_wskakunin_dairi5_JIMU_TOUROKU_KIKAN">DATA!$F$283</definedName>
    <definedName name="cst_wskakunin_dairi5_KENTIKUSI_NO">DATA!$F$278</definedName>
    <definedName name="cst_wskakunin_dairi5_NAME">DATA!$F$279</definedName>
    <definedName name="cst_wskakunin_dairi5_NAME_KANA">DATA!$F$280</definedName>
    <definedName name="cst_wskakunin_dairi5_SIKAKU">DATA!$F$276</definedName>
    <definedName name="cst_wskakunin_dairi5_TEL">DATA!$F$288</definedName>
    <definedName name="cst_wskakunin_dairi5_TOUROKU_KIKAN">DATA!$F$277</definedName>
    <definedName name="cst_wskakunin_dairi5_ZIP">DATA!$F$286</definedName>
    <definedName name="cst_wskakunin_DOURO_FUKUIN">DATA!$F$939</definedName>
    <definedName name="cst_wskakunin_DOURO_NAGASA">DATA!$F$940</definedName>
    <definedName name="cst_wskakunin_ecotekihan01_FUYOU_CAUSE">DATA!$F$877</definedName>
    <definedName name="cst_wskakunin_ecotekihan01_miteisyutu_kikan_info">DATA!$F$876</definedName>
    <definedName name="cst_wskakunin_ecotekihan01_teisyutu_kikan_info">DATA!$F$875</definedName>
    <definedName name="cst_wskakunin_ecotekihan01_TEKIHAN_KIKAN_ADDRESS">DATA!$F$873</definedName>
    <definedName name="cst_wskakunin_ecotekihan01_TEKIHAN_KIKAN_KEN__ken">DATA!$F$872</definedName>
    <definedName name="cst_wskakunin_ecotekihan01_TEKIHAN_KIKAN_NAME">DATA!$F$871</definedName>
    <definedName name="cst_wskakunin_ecotekihan01_TEKIHAN_STATE_miteisyutu">DATA!$F$869</definedName>
    <definedName name="cst_wskakunin_ecotekihan01_TEKIHAN_STATE_teisyutu">DATA!$F$868</definedName>
    <definedName name="cst_wskakunin_ecotekihan01_TEKIHAN_STATE_teisyutufuyou">DATA!$F$870</definedName>
    <definedName name="cst_wskakunin_gaiyou1_EV_KIND">DATA!$F$1009</definedName>
    <definedName name="cst_wskakunin_gaiyou1_KOUJI_KAITIKU">DATA!$F$996</definedName>
    <definedName name="cst_wskakunin_gaiyou1_KOUJI_SINTIKU">DATA!$F$994</definedName>
    <definedName name="cst_wskakunin_gaiyou1_KOUJI_SONOTA">DATA!$F$997</definedName>
    <definedName name="cst_wskakunin_gaiyou1_KOUJI_SONOTA_TEXT">DATA!$F$998</definedName>
    <definedName name="cst_wskakunin_gaiyou1_KOUJI_ZOUTIKU">DATA!$F$995</definedName>
    <definedName name="cst_wskakunin_gaiyou1_KOUZOU">DATA!$F$993</definedName>
    <definedName name="cst_wskakunin_gaiyou1_NINSYOU_NO">DATA!$F$1015</definedName>
    <definedName name="cst_wskakunin_gaiyou1_NO">DATA!$F$1008</definedName>
    <definedName name="cst_wskakunin_gaiyou1_SEKISAI">DATA!$F$1011</definedName>
    <definedName name="cst_wskakunin_gaiyou1_SONOTA">DATA!$F$1014</definedName>
    <definedName name="cst_wskakunin_gaiyou1_SONOTA_and_NINSYOU_NO">DATA!$F$1016</definedName>
    <definedName name="cst_wskakunin_gaiyou1_SPEED">DATA!$F$1013</definedName>
    <definedName name="cst_wskakunin_gaiyou1_TAKASA">DATA!$F$992</definedName>
    <definedName name="cst_wskakunin_gaiyou1_TEIIN">DATA!$F$1012</definedName>
    <definedName name="cst_wskakunin_gaiyou1_TIKUZOU_MENSEKI_IGAI">DATA!$F$1001</definedName>
    <definedName name="cst_wskakunin_gaiyou1_TIKUZOU_MENSEKI_SHINSEI">DATA!$F$1000</definedName>
    <definedName name="cst_wskakunin_gaiyou1_TIKUZOU_MENSEKI_TOTAL">DATA!$F$1002</definedName>
    <definedName name="cst_wskakunin_gaiyou1_WORK_COUNT_IGAI">DATA!$F$1004</definedName>
    <definedName name="cst_wskakunin_gaiyou1_WORK_COUNT_SHINSEI">DATA!$F$1003</definedName>
    <definedName name="cst_wskakunin_gaiyou1_WORK_COUNT_TOTAL">DATA!$F$1005</definedName>
    <definedName name="cst_wskakunin_gaiyou1_WORK_SYURUI">DATA!$F$991</definedName>
    <definedName name="cst_wskakunin_gaiyou1_WORK_SYURUI_CODE">DATA!$F$990</definedName>
    <definedName name="cst_wskakunin_gaiyou1_YOUTO">DATA!$F$1010</definedName>
    <definedName name="cst_wskakunin_iken1__address">DATA!$F$550</definedName>
    <definedName name="cst_wskakunin_iken1_DOC">DATA!$F$553</definedName>
    <definedName name="cst_wskakunin_iken1_IKEN_NO">DATA!$F$552</definedName>
    <definedName name="cst_wskakunin_iken1_JIMU_NAME">DATA!$F$548</definedName>
    <definedName name="cst_wskakunin_iken1_NAME">DATA!$F$547</definedName>
    <definedName name="cst_wskakunin_iken1_TEL">DATA!$F$551</definedName>
    <definedName name="cst_wskakunin_iken1_ZIP">DATA!$F$549</definedName>
    <definedName name="cst_wskakunin_iken2__address">DATA!$F$559</definedName>
    <definedName name="cst_wskakunin_iken2_DOC">DATA!$F$562</definedName>
    <definedName name="cst_wskakunin_iken2_IKEN_NO">DATA!$F$561</definedName>
    <definedName name="cst_wskakunin_iken2_JIMU_NAME">DATA!$F$557</definedName>
    <definedName name="cst_wskakunin_iken2_NAME">DATA!$F$556</definedName>
    <definedName name="cst_wskakunin_iken2_TEL">DATA!$F$560</definedName>
    <definedName name="cst_wskakunin_iken2_ZIP">DATA!$F$558</definedName>
    <definedName name="cst_wskakunin_iken3__address">DATA!$F$568</definedName>
    <definedName name="cst_wskakunin_iken3_DOC">DATA!$F$571</definedName>
    <definedName name="cst_wskakunin_iken3_IKEN_NO">DATA!$F$570</definedName>
    <definedName name="cst_wskakunin_iken3_JIMU_NAME">DATA!$F$566</definedName>
    <definedName name="cst_wskakunin_iken3_NAME">DATA!$F$565</definedName>
    <definedName name="cst_wskakunin_iken3_TEL">DATA!$F$569</definedName>
    <definedName name="cst_wskakunin_iken3_ZIP">DATA!$F$567</definedName>
    <definedName name="cst_wskakunin_iken4__address">DATA!$F$577</definedName>
    <definedName name="cst_wskakunin_iken4_DOC">DATA!$F$580</definedName>
    <definedName name="cst_wskakunin_iken4_IKEN_NO">DATA!$F$579</definedName>
    <definedName name="cst_wskakunin_iken4_JIMU_NAME">DATA!$F$575</definedName>
    <definedName name="cst_wskakunin_iken4_NAME">DATA!$F$574</definedName>
    <definedName name="cst_wskakunin_iken4_TEL">DATA!$F$578</definedName>
    <definedName name="cst_wskakunin_iken4_ZIP">DATA!$F$576</definedName>
    <definedName name="cst_wskakunin_iken5__address">DATA!$F$585</definedName>
    <definedName name="cst_wskakunin_iken5_DOC">DATA!$F$588</definedName>
    <definedName name="cst_wskakunin_iken5_IKEN_NO">DATA!$F$587</definedName>
    <definedName name="cst_wskakunin_iken5_JIMU_NAME">DATA!$F$583</definedName>
    <definedName name="cst_wskakunin_iken5_NAME">DATA!$F$582</definedName>
    <definedName name="cst_wskakunin_iken5_TEL">DATA!$F$586</definedName>
    <definedName name="cst_wskakunin_iken5_ZIP">DATA!$F$584</definedName>
    <definedName name="cst_wskakunin_KAISU_TIJYOU_SHINSEI">DATA!$F$1100</definedName>
    <definedName name="cst_wskakunin_KAISU_TIJYOU_SONOTA">DATA!$F$1101</definedName>
    <definedName name="cst_wskakunin_KAISU_TIKA_SHINSEI__zero">DATA!$F$1103</definedName>
    <definedName name="cst_wskakunin_KAISU_TIKA_SONOTA">DATA!$F$1104</definedName>
    <definedName name="cst_wskakunin_kanri1__address">DATA!$F$603</definedName>
    <definedName name="cst_wskakunin_kanri1__sikaku">DATA!$F$591</definedName>
    <definedName name="cst_wskakunin_kanri1_DOC">DATA!$F$605</definedName>
    <definedName name="cst_wskakunin_kanri1_JIMU">DATA!$F$596</definedName>
    <definedName name="cst_wskakunin_kanri1_JIMU_NAME">DATA!$F$600</definedName>
    <definedName name="cst_wskakunin_kanri1_JIMU_NO">DATA!$F$599</definedName>
    <definedName name="cst_wskakunin_kanri1_JIMU_SIKAKU">DATA!$F$597</definedName>
    <definedName name="cst_wskakunin_kanri1_JIMU_TOUROKU_KIKAN">DATA!$F$598</definedName>
    <definedName name="cst_wskakunin_kanri1_KENTIKUSI_NO">DATA!$F$594</definedName>
    <definedName name="cst_wskakunin_kanri1_NAME">DATA!$F$595</definedName>
    <definedName name="cst_wskakunin_kanri1_SIKAKU">DATA!$F$592</definedName>
    <definedName name="cst_wskakunin_kanri1_TEL">DATA!$F$604</definedName>
    <definedName name="cst_wskakunin_kanri1_TOUROKU_KIKAN">DATA!$F$593</definedName>
    <definedName name="cst_wskakunin_kanri1_ZIP">DATA!$F$601</definedName>
    <definedName name="cst_wskakunin_kanri1_ZIP2">DATA!$F$602</definedName>
    <definedName name="cst_wskakunin_kanri10__address">DATA!$F$747</definedName>
    <definedName name="cst_wskakunin_kanri10__sikaku">DATA!$F$736</definedName>
    <definedName name="cst_wskakunin_kanri10_DOC">DATA!$F$749</definedName>
    <definedName name="cst_wskakunin_kanri10_JIMU__sikaku">DATA!$F$741</definedName>
    <definedName name="cst_wskakunin_kanri10_JIMU_NAME">DATA!$F$745</definedName>
    <definedName name="cst_wskakunin_kanri10_JIMU_NO">DATA!$F$744</definedName>
    <definedName name="cst_wskakunin_kanri10_JIMU_SIKAKU">DATA!$F$742</definedName>
    <definedName name="cst_wskakunin_kanri10_JIMU_TOUROKU_KIKAN">DATA!$F$743</definedName>
    <definedName name="cst_wskakunin_kanri10_KENTIKUSI_NO">DATA!$F$739</definedName>
    <definedName name="cst_wskakunin_kanri10_NAME">DATA!$F$740</definedName>
    <definedName name="cst_wskakunin_kanri10_SIKAKU">DATA!$F$737</definedName>
    <definedName name="cst_wskakunin_kanri10_TEL">DATA!$F$748</definedName>
    <definedName name="cst_wskakunin_kanri10_TOUROKU_KIKAN">DATA!$F$738</definedName>
    <definedName name="cst_wskakunin_kanri10_ZIP">DATA!$F$746</definedName>
    <definedName name="cst_wskakunin_kanri11__address">DATA!$F$763</definedName>
    <definedName name="cst_wskakunin_kanri11__sikaku">DATA!$F$752</definedName>
    <definedName name="cst_wskakunin_kanri11_DOC">DATA!$F$765</definedName>
    <definedName name="cst_wskakunin_kanri11_JIMU__sikaku">DATA!$F$757</definedName>
    <definedName name="cst_wskakunin_kanri11_JIMU_NAME">DATA!$F$761</definedName>
    <definedName name="cst_wskakunin_kanri11_JIMU_NO">DATA!$F$760</definedName>
    <definedName name="cst_wskakunin_kanri11_JIMU_SIKAKU">DATA!$F$758</definedName>
    <definedName name="cst_wskakunin_kanri11_JIMU_TOUROKU_KIKAN">DATA!$F$759</definedName>
    <definedName name="cst_wskakunin_kanri11_KENTIKUSI_NO">DATA!$F$755</definedName>
    <definedName name="cst_wskakunin_kanri11_NAME">DATA!$F$756</definedName>
    <definedName name="cst_wskakunin_kanri11_SIKAKU">DATA!$F$753</definedName>
    <definedName name="cst_wskakunin_kanri11_TEL">DATA!$F$764</definedName>
    <definedName name="cst_wskakunin_kanri11_TOUROKU_KIKAN">DATA!$F$754</definedName>
    <definedName name="cst_wskakunin_kanri11_ZIP">DATA!$F$762</definedName>
    <definedName name="cst_wskakunin_kanri12__address">DATA!$F$779</definedName>
    <definedName name="cst_wskakunin_kanri12__sikaku">DATA!$F$768</definedName>
    <definedName name="cst_wskakunin_kanri12_DOC">DATA!$F$781</definedName>
    <definedName name="cst_wskakunin_kanri12_JIMU__sikaku">DATA!$F$773</definedName>
    <definedName name="cst_wskakunin_kanri12_JIMU_NAME">DATA!$F$777</definedName>
    <definedName name="cst_wskakunin_kanri12_JIMU_NO">DATA!$F$776</definedName>
    <definedName name="cst_wskakunin_kanri12_JIMU_SIKAKU">DATA!$F$774</definedName>
    <definedName name="cst_wskakunin_kanri12_JIMU_TOUROKU_KIKAN">DATA!$F$775</definedName>
    <definedName name="cst_wskakunin_kanri12_KENTIKUSI_NO">DATA!$F$771</definedName>
    <definedName name="cst_wskakunin_kanri12_NAME">DATA!$F$772</definedName>
    <definedName name="cst_wskakunin_kanri12_SIKAKU">DATA!$F$769</definedName>
    <definedName name="cst_wskakunin_kanri12_TEL">DATA!$F$780</definedName>
    <definedName name="cst_wskakunin_kanri12_TOUROKU_KIKAN">DATA!$F$770</definedName>
    <definedName name="cst_wskakunin_kanri12_ZIP">DATA!$F$778</definedName>
    <definedName name="cst_wskakunin_kanri2__address">DATA!$F$619</definedName>
    <definedName name="cst_wskakunin_kanri2__sikaku">DATA!$F$608</definedName>
    <definedName name="cst_wskakunin_kanri2_DOC">DATA!$F$621</definedName>
    <definedName name="cst_wskakunin_kanri2_JIMU">DATA!$F$613</definedName>
    <definedName name="cst_wskakunin_kanri2_JIMU_NAME">DATA!$F$617</definedName>
    <definedName name="cst_wskakunin_kanri2_JIMU_NO">DATA!$F$616</definedName>
    <definedName name="cst_wskakunin_kanri2_JIMU_SIKAKU">DATA!$F$614</definedName>
    <definedName name="cst_wskakunin_kanri2_JIMU_TOUROKU_KIKAN">DATA!$F$615</definedName>
    <definedName name="cst_wskakunin_kanri2_KENTIKUSI_NO">DATA!$F$611</definedName>
    <definedName name="cst_wskakunin_kanri2_NAME">DATA!$F$612</definedName>
    <definedName name="cst_wskakunin_kanri2_SIKAKU">DATA!$F$609</definedName>
    <definedName name="cst_wskakunin_kanri2_TEL">DATA!$F$620</definedName>
    <definedName name="cst_wskakunin_kanri2_TOUROKU_KIKAN">DATA!$F$610</definedName>
    <definedName name="cst_wskakunin_kanri2_ZIP">DATA!$F$618</definedName>
    <definedName name="cst_wskakunin_kanri3__address">DATA!$F$635</definedName>
    <definedName name="cst_wskakunin_kanri3__sikaku">DATA!$F$624</definedName>
    <definedName name="cst_wskakunin_kanri3_DOC">DATA!$F$637</definedName>
    <definedName name="cst_wskakunin_kanri3_JIMU__sikaku">DATA!$F$629</definedName>
    <definedName name="cst_wskakunin_kanri3_JIMU_NAME">DATA!$F$633</definedName>
    <definedName name="cst_wskakunin_kanri3_JIMU_NO">DATA!$F$632</definedName>
    <definedName name="cst_wskakunin_kanri3_JIMU_SIKAKU">DATA!$F$630</definedName>
    <definedName name="cst_wskakunin_kanri3_JIMU_TOUROKU_KIKAN">DATA!$F$631</definedName>
    <definedName name="cst_wskakunin_kanri3_KENTIKUSI_NO">DATA!$F$627</definedName>
    <definedName name="cst_wskakunin_kanri3_NAME">DATA!$F$628</definedName>
    <definedName name="cst_wskakunin_kanri3_SIKAKU">DATA!$F$625</definedName>
    <definedName name="cst_wskakunin_kanri3_TEL">DATA!$F$636</definedName>
    <definedName name="cst_wskakunin_kanri3_TOUROKU_KIKAN">DATA!$F$626</definedName>
    <definedName name="cst_wskakunin_kanri3_ZIP">DATA!$F$634</definedName>
    <definedName name="cst_wskakunin_kanri4__address">DATA!$F$651</definedName>
    <definedName name="cst_wskakunin_kanri4__sikaku">DATA!$F$640</definedName>
    <definedName name="cst_wskakunin_kanri4_DOC">DATA!$F$653</definedName>
    <definedName name="cst_wskakunin_kanri4_JIMU__sikaku">DATA!$F$645</definedName>
    <definedName name="cst_wskakunin_kanri4_JIMU_NAME">DATA!$F$649</definedName>
    <definedName name="cst_wskakunin_kanri4_JIMU_NO">DATA!$F$648</definedName>
    <definedName name="cst_wskakunin_kanri4_JIMU_SIKAKU">DATA!$F$646</definedName>
    <definedName name="cst_wskakunin_kanri4_JIMU_TOUROKU_KIKAN">DATA!$F$647</definedName>
    <definedName name="cst_wskakunin_kanri4_KENTIKUSI_NO">DATA!$F$643</definedName>
    <definedName name="cst_wskakunin_kanri4_NAME">DATA!$F$644</definedName>
    <definedName name="cst_wskakunin_kanri4_SIKAKU">DATA!$F$641</definedName>
    <definedName name="cst_wskakunin_kanri4_TEL">DATA!$F$652</definedName>
    <definedName name="cst_wskakunin_kanri4_TOUROKU_KIKAN">DATA!$F$642</definedName>
    <definedName name="cst_wskakunin_kanri4_ZIP">DATA!$F$650</definedName>
    <definedName name="cst_wskakunin_kanri5__address">DATA!$F$667</definedName>
    <definedName name="cst_wskakunin_kanri5__sikaku">DATA!$F$656</definedName>
    <definedName name="cst_wskakunin_kanri5_DOC">DATA!$F$669</definedName>
    <definedName name="cst_wskakunin_kanri5_JIMU__sikaku">DATA!$F$661</definedName>
    <definedName name="cst_wskakunin_kanri5_JIMU_NAME">DATA!$F$665</definedName>
    <definedName name="cst_wskakunin_kanri5_JIMU_NO">DATA!$F$664</definedName>
    <definedName name="cst_wskakunin_kanri5_JIMU_SIKAKU">DATA!$F$662</definedName>
    <definedName name="cst_wskakunin_kanri5_JIMU_TOUROKU_KIKAN">DATA!$F$663</definedName>
    <definedName name="cst_wskakunin_kanri5_KENTIKUSI_NO">DATA!$F$659</definedName>
    <definedName name="cst_wskakunin_kanri5_NAME">DATA!$F$660</definedName>
    <definedName name="cst_wskakunin_kanri5_SIKAKU">DATA!$F$657</definedName>
    <definedName name="cst_wskakunin_kanri5_TEL">DATA!$F$668</definedName>
    <definedName name="cst_wskakunin_kanri5_TOUROKU_KIKAN">DATA!$F$658</definedName>
    <definedName name="cst_wskakunin_kanri5_ZIP">DATA!$F$666</definedName>
    <definedName name="cst_wskakunin_kanri6__address">DATA!$F$683</definedName>
    <definedName name="cst_wskakunin_kanri6__sikaku">DATA!$F$672</definedName>
    <definedName name="cst_wskakunin_kanri6_DOC">DATA!$F$685</definedName>
    <definedName name="cst_wskakunin_kanri6_JIMU__sikaku">DATA!$F$677</definedName>
    <definedName name="cst_wskakunin_kanri6_JIMU_NAME">DATA!$F$681</definedName>
    <definedName name="cst_wskakunin_kanri6_JIMU_NO">DATA!$F$680</definedName>
    <definedName name="cst_wskakunin_kanri6_JIMU_SIKAKU">DATA!$F$678</definedName>
    <definedName name="cst_wskakunin_kanri6_JIMU_TOUROKU_KIKAN">DATA!$F$679</definedName>
    <definedName name="cst_wskakunin_kanri6_KENTIKUSI_NO">DATA!$F$675</definedName>
    <definedName name="cst_wskakunin_kanri6_NAME">DATA!$F$676</definedName>
    <definedName name="cst_wskakunin_kanri6_SIKAKU">DATA!$F$673</definedName>
    <definedName name="cst_wskakunin_kanri6_TEL">DATA!$F$684</definedName>
    <definedName name="cst_wskakunin_kanri6_TOUROKU_KIKAN">DATA!$F$674</definedName>
    <definedName name="cst_wskakunin_kanri6_ZIP">DATA!$F$682</definedName>
    <definedName name="cst_wskakunin_kanri7__address">DATA!$F$699</definedName>
    <definedName name="cst_wskakunin_kanri7__sikaku">DATA!$F$688</definedName>
    <definedName name="cst_wskakunin_kanri7_DOC">DATA!$F$701</definedName>
    <definedName name="cst_wskakunin_kanri7_JIMU__sikaku">DATA!$F$693</definedName>
    <definedName name="cst_wskakunin_kanri7_JIMU_NAME">DATA!$F$697</definedName>
    <definedName name="cst_wskakunin_kanri7_JIMU_NO">DATA!$F$696</definedName>
    <definedName name="cst_wskakunin_kanri7_JIMU_SIKAKU">DATA!$F$694</definedName>
    <definedName name="cst_wskakunin_kanri7_JIMU_TOUROKU_KIKAN">DATA!$F$695</definedName>
    <definedName name="cst_wskakunin_kanri7_KENTIKUSI_NO">DATA!$F$691</definedName>
    <definedName name="cst_wskakunin_kanri7_NAME">DATA!$F$692</definedName>
    <definedName name="cst_wskakunin_kanri7_SIKAKU">DATA!$F$689</definedName>
    <definedName name="cst_wskakunin_kanri7_TEL">DATA!$F$700</definedName>
    <definedName name="cst_wskakunin_kanri7_TOUROKU_KIKAN">DATA!$F$690</definedName>
    <definedName name="cst_wskakunin_kanri7_ZIP">DATA!$F$698</definedName>
    <definedName name="cst_wskakunin_kanri8__address">DATA!$F$715</definedName>
    <definedName name="cst_wskakunin_kanri8__sikaku">DATA!$F$704</definedName>
    <definedName name="cst_wskakunin_kanri8_DOC">DATA!$F$717</definedName>
    <definedName name="cst_wskakunin_kanri8_JIMU__sikaku">DATA!$F$709</definedName>
    <definedName name="cst_wskakunin_kanri8_JIMU_NAME">DATA!$F$713</definedName>
    <definedName name="cst_wskakunin_kanri8_JIMU_NO">DATA!$F$712</definedName>
    <definedName name="cst_wskakunin_kanri8_JIMU_SIKAKU">DATA!$F$710</definedName>
    <definedName name="cst_wskakunin_kanri8_JIMU_TOUROKU_KIKAN">DATA!$F$711</definedName>
    <definedName name="cst_wskakunin_kanri8_KENTIKUSI_NO">DATA!$F$707</definedName>
    <definedName name="cst_wskakunin_kanri8_NAME">DATA!$F$708</definedName>
    <definedName name="cst_wskakunin_kanri8_SIKAKU">DATA!$F$705</definedName>
    <definedName name="cst_wskakunin_kanri8_TEL">DATA!$F$716</definedName>
    <definedName name="cst_wskakunin_kanri8_TOUROKU_KIKAN">DATA!$F$706</definedName>
    <definedName name="cst_wskakunin_kanri8_ZIP">DATA!$F$714</definedName>
    <definedName name="cst_wskakunin_kanri9__address">DATA!$F$731</definedName>
    <definedName name="cst_wskakunin_kanri9__sikaku">DATA!$F$720</definedName>
    <definedName name="cst_wskakunin_kanri9_DOC">DATA!$F$733</definedName>
    <definedName name="cst_wskakunin_kanri9_JIMU__sikaku">DATA!$F$725</definedName>
    <definedName name="cst_wskakunin_kanri9_JIMU_NAME">DATA!$F$729</definedName>
    <definedName name="cst_wskakunin_kanri9_JIMU_NO">DATA!$F$728</definedName>
    <definedName name="cst_wskakunin_kanri9_JIMU_SIKAKU">DATA!$F$726</definedName>
    <definedName name="cst_wskakunin_kanri9_JIMU_TOUROKU_KIKAN">DATA!$F$727</definedName>
    <definedName name="cst_wskakunin_kanri9_KENTIKUSI_NO">DATA!$F$723</definedName>
    <definedName name="cst_wskakunin_kanri9_NAME">DATA!$F$724</definedName>
    <definedName name="cst_wskakunin_kanri9_SIKAKU">DATA!$F$721</definedName>
    <definedName name="cst_wskakunin_kanri9_TEL">DATA!$F$732</definedName>
    <definedName name="cst_wskakunin_kanri9_TOUROKU_KIKAN">DATA!$F$722</definedName>
    <definedName name="cst_wskakunin_kanri9_ZIP">DATA!$F$730</definedName>
    <definedName name="cst_wskakunin_keibi_henkou01_HENKOU_GAIYOU">DATA!$F$1300</definedName>
    <definedName name="cst_wskakunin_keibi_henkou01_HENKOU_SYURUI">DATA!$F$1299</definedName>
    <definedName name="cst_wskakunin_KENPEI_RITU">DATA!$F$1022</definedName>
    <definedName name="cst_wskakunin_KENPEI_RITU_A">DATA!$F$963</definedName>
    <definedName name="cst_wskakunin_KENPEI_RITU_B">DATA!$F$964</definedName>
    <definedName name="cst_wskakunin_KENPEI_RITU_C">DATA!$F$965</definedName>
    <definedName name="cst_wskakunin_KENPEI_RITU_D">DATA!$F$966</definedName>
    <definedName name="cst_wskakunin_KENSA_YUKA_MENSEKI_select">DATA!$F$1208</definedName>
    <definedName name="cst_wskakunin_KENTIKU_MENSEKI_IGAI">DATA!$F$1020</definedName>
    <definedName name="cst_wskakunin_KENTIKU_MENSEKI_SHINSEI">DATA!$F$1019</definedName>
    <definedName name="cst_wskakunin_KENTIKU_MENSEKI_TOTAL">DATA!$F$1021</definedName>
    <definedName name="cst_wskakunin_KENTIKU_NINSYO_NO">DATA!$F$1196</definedName>
    <definedName name="cst_wskakunin_KIKAN_NAME">DATA!$F$51</definedName>
    <definedName name="cst_wskakunin_KOUJI_DAI_MOYOUGAE_box">DATA!$F$986</definedName>
    <definedName name="cst_wskakunin_KOUJI_DAI_SYUUZEN_box">DATA!$F$985</definedName>
    <definedName name="cst_wskakunin_KOUJI_ITEN_box">DATA!$F$983</definedName>
    <definedName name="cst_wskakunin_KOUJI_KAITIKU_box">DATA!$F$982</definedName>
    <definedName name="cst_wskakunin_KOUJI_KANRYOU_DATE_select">DATA!$F$1303</definedName>
    <definedName name="cst_wskakunin_KOUJI_KANRYOU_YOTEI_DATE">DATA!$F$1150</definedName>
    <definedName name="cst_wskakunin_KOUJI_KANRYOU_YOTEI_DATE_select">DATA!$F$1201</definedName>
    <definedName name="cst_wskakunin_KOUJI_SETUBI_box">DATA!$F$987</definedName>
    <definedName name="cst_wskakunin_KOUJI_SINTIKU_box">DATA!$F$980</definedName>
    <definedName name="cst_wskakunin_KOUJI_TYAKUSYU_DATE_select">DATA!$F$1198</definedName>
    <definedName name="cst_wskakunin_KOUJI_TYAKUSYU_YOTEI_DATE">DATA!$F$1148</definedName>
    <definedName name="cst_wskakunin_KOUJI_YOUTOHENKOU_box">DATA!$F$984</definedName>
    <definedName name="cst_wskakunin_KOUJI_ZOUTIKU_box">DATA!$F$981</definedName>
    <definedName name="cst_wskakunin_koutei_ikou01_KOUTEI_DATE">DATA!$F$1271</definedName>
    <definedName name="cst_wskakunin_koutei_ikou01_KOUTEI_DATE_inter1">DATA!$F$1281</definedName>
    <definedName name="cst_wskakunin_koutei_ikou01_KOUTEI_DATE_inter2">DATA!$F$1286</definedName>
    <definedName name="cst_wskakunin_koutei_ikou01_KOUTEI_KAISUU">DATA!$F$1269</definedName>
    <definedName name="cst_wskakunin_koutei_ikou01_KOUTEI_KAISUU_inter1">DATA!$F$1279</definedName>
    <definedName name="cst_wskakunin_koutei_ikou01_KOUTEI_KAISUU_inter2">DATA!$F$1284</definedName>
    <definedName name="cst_wskakunin_koutei_ikou01_KOUTEI_TEXT">DATA!$F$1270</definedName>
    <definedName name="cst_wskakunin_koutei_ikou01_KOUTEI_TEXT_inter1">DATA!$F$1280</definedName>
    <definedName name="cst_wskakunin_koutei_ikou01_KOUTEI_TEXT_inter2">DATA!$F$1285</definedName>
    <definedName name="cst_wskakunin_koutei_ikou02_KOUTEI_DATE">DATA!$F$1276</definedName>
    <definedName name="cst_wskakunin_koutei_ikou02_KOUTEI_DATE_inter1">DATA!$F$1291</definedName>
    <definedName name="cst_wskakunin_koutei_ikou02_KOUTEI_DATE_inter2">DATA!$F$1296</definedName>
    <definedName name="cst_wskakunin_koutei_ikou02_KOUTEI_KAISUU">DATA!$F$1274</definedName>
    <definedName name="cst_wskakunin_koutei_ikou02_KOUTEI_KAISUU_inter1">DATA!$F$1289</definedName>
    <definedName name="cst_wskakunin_koutei_ikou02_KOUTEI_KAISUU_inter2">DATA!$F$1294</definedName>
    <definedName name="cst_wskakunin_koutei_ikou02_KOUTEI_TEXT">DATA!$F$1275</definedName>
    <definedName name="cst_wskakunin_koutei_ikou02_KOUTEI_TEXT_inter1">DATA!$F$1290</definedName>
    <definedName name="cst_wskakunin_koutei_ikou02_KOUTEI_TEXT_inter2">DATA!$F$1295</definedName>
    <definedName name="cst_wskakunin_koutei_izen01_INTER_ISSUE_DATE">DATA!$F$1216</definedName>
    <definedName name="cst_wskakunin_koutei_izen01_INTER_ISSUE_DATE_inter1">DATA!$F$1244</definedName>
    <definedName name="cst_wskakunin_koutei_izen01_INTER_ISSUE_DATE_inter2">DATA!$F$1251</definedName>
    <definedName name="cst_wskakunin_koutei_izen01_INTER_ISSUE_NAME">DATA!$F$1214</definedName>
    <definedName name="cst_wskakunin_koutei_izen01_INTER_ISSUE_NAME_inter1">DATA!$F$1242</definedName>
    <definedName name="cst_wskakunin_koutei_izen01_INTER_ISSUE_NAME_inter2">DATA!$F$1249</definedName>
    <definedName name="cst_wskakunin_koutei_izen01_INTER_ISSUE_NO">DATA!$F$1215</definedName>
    <definedName name="cst_wskakunin_koutei_izen01_INTER_ISSUE_NO_inter1">DATA!$F$1243</definedName>
    <definedName name="cst_wskakunin_koutei_izen01_INTER_ISSUE_NO_inter2">DATA!$F$1250</definedName>
    <definedName name="cst_wskakunin_koutei_izen01_KOUTEI_KAISUU">DATA!$F$1212</definedName>
    <definedName name="cst_wskakunin_koutei_izen01_KOUTEI_KAISUU_inter1">DATA!$F$1240</definedName>
    <definedName name="cst_wskakunin_koutei_izen01_KOUTEI_KAISUU_inter2">DATA!$F$1247</definedName>
    <definedName name="cst_wskakunin_koutei_izen01_KOUTEI_TEXT">DATA!$F$1213</definedName>
    <definedName name="cst_wskakunin_koutei_izen01_KOUTEI_TEXT_inter1">DATA!$F$1241</definedName>
    <definedName name="cst_wskakunin_koutei_izen01_KOUTEI_TEXT_inter2">DATA!$F$1248</definedName>
    <definedName name="cst_wskakunin_koutei_izen01_umu">DATA!$F$1217</definedName>
    <definedName name="cst_wskakunin_koutei_izen02_INTER_ISSUE_DATE">DATA!$F$1223</definedName>
    <definedName name="cst_wskakunin_koutei_izen02_INTER_ISSUE_DATE_inter1">DATA!$F$1258</definedName>
    <definedName name="cst_wskakunin_koutei_izen02_INTER_ISSUE_DATE_inter2">DATA!$F$1265</definedName>
    <definedName name="cst_wskakunin_koutei_izen02_INTER_ISSUE_NAME">DATA!$F$1221</definedName>
    <definedName name="cst_wskakunin_koutei_izen02_INTER_ISSUE_NAME_inter1">DATA!$F$1256</definedName>
    <definedName name="cst_wskakunin_koutei_izen02_INTER_ISSUE_NAME_inter2">DATA!$F$1263</definedName>
    <definedName name="cst_wskakunin_koutei_izen02_INTER_ISSUE_NO">DATA!$F$1222</definedName>
    <definedName name="cst_wskakunin_koutei_izen02_INTER_ISSUE_NO_inter1">DATA!$F$1257</definedName>
    <definedName name="cst_wskakunin_koutei_izen02_INTER_ISSUE_NO_inter2">DATA!$F$1264</definedName>
    <definedName name="cst_wskakunin_koutei_izen02_KOUTEI_KAISUU">DATA!$F$1219</definedName>
    <definedName name="cst_wskakunin_koutei_izen02_KOUTEI_KAISUU_inter1">DATA!$F$1254</definedName>
    <definedName name="cst_wskakunin_koutei_izen02_KOUTEI_KAISUU_inter2">DATA!$F$1261</definedName>
    <definedName name="cst_wskakunin_koutei_izen02_KOUTEI_TEXT">DATA!$F$1220</definedName>
    <definedName name="cst_wskakunin_koutei_izen02_KOUTEI_TEXT_inter1">DATA!$F$1255</definedName>
    <definedName name="cst_wskakunin_koutei_izen02_KOUTEI_TEXT_inter2">DATA!$F$1262</definedName>
    <definedName name="cst_wskakunin_koutei_izen03_INTER_ISSUE_DATE">DATA!$F$1230</definedName>
    <definedName name="cst_wskakunin_koutei_izen03_INTER_ISSUE_NAME">DATA!$F$1228</definedName>
    <definedName name="cst_wskakunin_koutei_izen03_INTER_ISSUE_NO">DATA!$F$1229</definedName>
    <definedName name="cst_wskakunin_koutei_izen03_KOUTEI_KAISUU">DATA!$F$1226</definedName>
    <definedName name="cst_wskakunin_koutei_izen03_KOUTEI_TEXT">DATA!$F$1227</definedName>
    <definedName name="cst_wskakunin_koutei_izen04_INTER_ISSUE_DATE">DATA!$F$1237</definedName>
    <definedName name="cst_wskakunin_koutei_izen04_INTER_ISSUE_NAME">DATA!$F$1235</definedName>
    <definedName name="cst_wskakunin_koutei_izen04_INTER_ISSUE_NO">DATA!$F$1236</definedName>
    <definedName name="cst_wskakunin_koutei_izen04_KOUTEI_KAISUU">DATA!$F$1233</definedName>
    <definedName name="cst_wskakunin_koutei_izen04_KOUTEI_TEXT">DATA!$F$1234</definedName>
    <definedName name="cst_wskakunin_koutei_keika01_INTER_ISSUE_DATE_select">DATA!$F$1317</definedName>
    <definedName name="cst_wskakunin_koutei_keika01_INTER_ISSUE_NAME_select">DATA!$F$1315</definedName>
    <definedName name="cst_wskakunin_koutei_keika01_INTER_ISSUE_NO_select">DATA!$F$1316</definedName>
    <definedName name="cst_wskakunin_koutei_keika01_KOUTEI_KAISUU_select">DATA!$F$1313</definedName>
    <definedName name="cst_wskakunin_koutei_keika01_KOUTEI_TEXT_select">DATA!$F$1314</definedName>
    <definedName name="cst_wskakunin_koutei_keika02_INTER_ISSUE_DATE_select">DATA!$F$1332</definedName>
    <definedName name="cst_wskakunin_koutei_keika02_INTER_ISSUE_NAME_select">DATA!$F$1330</definedName>
    <definedName name="cst_wskakunin_koutei_keika02_INTER_ISSUE_NO_select">DATA!$F$1331</definedName>
    <definedName name="cst_wskakunin_koutei_keika02_KOUTEI_KAISUU_select">DATA!$F$1328</definedName>
    <definedName name="cst_wskakunin_koutei_keika02_KOUTEI_TEXT_select">DATA!$F$1329</definedName>
    <definedName name="cst_wskakunin_koutei01_INTER_ISSUE_DATE">DATA!$F$1310</definedName>
    <definedName name="cst_wskakunin_koutei01_INTER_ISSUE_NAME">DATA!$F$1308</definedName>
    <definedName name="cst_wskakunin_koutei01_INTER_ISSUE_NO">DATA!$F$1309</definedName>
    <definedName name="cst_wskakunin_koutei01_KOUTEI_DATE">DATA!$F$1159</definedName>
    <definedName name="cst_wskakunin_koutei01_KOUTEI_KAISUU">DATA!$F$1158</definedName>
    <definedName name="cst_wskakunin_koutei01_KOUTEI_TEXT">DATA!$F$1160</definedName>
    <definedName name="cst_wskakunin_koutei01_umu">DATA!$F$1311</definedName>
    <definedName name="cst_wskakunin_koutei02_INTER_ISSUE_DATE">DATA!$F$1324</definedName>
    <definedName name="cst_wskakunin_koutei02_INTER_ISSUE_NAME">DATA!$F$1322</definedName>
    <definedName name="cst_wskakunin_koutei02_INTER_ISSUE_NO">DATA!$F$1323</definedName>
    <definedName name="cst_wskakunin_koutei02_KOUTEI_DATE">DATA!$F$1164</definedName>
    <definedName name="cst_wskakunin_koutei02_KOUTEI_KAISUU">DATA!$F$1163</definedName>
    <definedName name="cst_wskakunin_koutei02_KOUTEI_TEXT">DATA!$F$1165</definedName>
    <definedName name="cst_wskakunin_koutei03_KOUTEI_DATE">DATA!$F$1169</definedName>
    <definedName name="cst_wskakunin_koutei03_KOUTEI_KAISUU">DATA!$F$1168</definedName>
    <definedName name="cst_wskakunin_koutei03_KOUTEI_TEXT">DATA!$F$1170</definedName>
    <definedName name="cst_wskakunin_koutei04_KOUTEI_DATE">DATA!$F$1174</definedName>
    <definedName name="cst_wskakunin_koutei04_KOUTEI_KAISUU">DATA!$F$1173</definedName>
    <definedName name="cst_wskakunin_koutei04_KOUTEI_TEXT">DATA!$F$1175</definedName>
    <definedName name="cst_wskakunin_KOUZOU">DATA!$F$1110</definedName>
    <definedName name="cst_wskakunin_KOUZOU_mokuzou">DATA!$F$1108</definedName>
    <definedName name="cst_wskakunin_KOUZOU_zairai">DATA!$F$1109</definedName>
    <definedName name="cst_wskakunin_KOUZOU1">DATA!$F$1106</definedName>
    <definedName name="cst_wskakunin_KOUZOU2">DATA!$F$1107</definedName>
    <definedName name="cst_wskakunin_KUIKI_HISETTEI">DATA!$F$926</definedName>
    <definedName name="cst_wskakunin_KUIKI_JYUN_TOSHI">DATA!$F$927</definedName>
    <definedName name="cst_wskakunin_KUIKI_KUIKIGAI">DATA!$F$928</definedName>
    <definedName name="cst_wskakunin_KUIKI_SIGAIKA">DATA!$F$923</definedName>
    <definedName name="cst_wskakunin_KUIKI_TOSI">DATA!$F$920</definedName>
    <definedName name="cst_wskakunin_KUIKI_TYOSEI">DATA!$F$925</definedName>
    <definedName name="cst_wskakunin_kyoka_HOUREI_all">DATA!$F$1146</definedName>
    <definedName name="cst_wskakunin_kyoka01_BIKOU">DATA!$F$1127</definedName>
    <definedName name="cst_wskakunin_kyoka01_HOUREI">DATA!$F$1123</definedName>
    <definedName name="cst_wskakunin_kyoka01_JOUKOU">DATA!$F$1124</definedName>
    <definedName name="cst_wskakunin_kyoka01_KYOKA_DATE">DATA!$F$1126</definedName>
    <definedName name="cst_wskakunin_kyoka01_KYOKA_NO">DATA!$F$1125</definedName>
    <definedName name="cst_wskakunin_kyoka02_BIKOU">DATA!$F$1135</definedName>
    <definedName name="cst_wskakunin_kyoka02_HOUREI">DATA!$F$1131</definedName>
    <definedName name="cst_wskakunin_kyoka02_JOUKOU">DATA!$F$1132</definedName>
    <definedName name="cst_wskakunin_kyoka02_KYOKA_DATE">DATA!$F$1134</definedName>
    <definedName name="cst_wskakunin_kyoka02_KYOKA_NO">DATA!$F$1133</definedName>
    <definedName name="cst_wskakunin_kyoka03_BIKOU">DATA!$F$1143</definedName>
    <definedName name="cst_wskakunin_kyoka03_HOUREI">DATA!$F$1139</definedName>
    <definedName name="cst_wskakunin_kyoka03_JOUKOU">DATA!$F$1140</definedName>
    <definedName name="cst_wskakunin_kyoka03_KYOKA_DATE">DATA!$F$1142</definedName>
    <definedName name="cst_wskakunin_kyoka03_KYOKA_NO">DATA!$F$1141</definedName>
    <definedName name="cst_wskakunin_LAST_ISSUE_DATE">DATA!$F$56</definedName>
    <definedName name="cst_wskakunin_LAST_ISSUE_NAME">DATA!$F$57</definedName>
    <definedName name="cst_wskakunin_LAST_ISSUE_NO">DATA!$F$55</definedName>
    <definedName name="cst_wskakunin_LIMIT_KENPEI_RITU">DATA!$F$972</definedName>
    <definedName name="cst_wskakunin_LIMIT_YOUSEKI_RITU">DATA!$F$971</definedName>
    <definedName name="cst_wskakunin_NOBE_MENSEKI">DATA!$F$1086</definedName>
    <definedName name="cst_wskakunin_NOBE_MENSEKI_BITIKUSOUKO_IGAI">DATA!$F$1052</definedName>
    <definedName name="cst_wskakunin_NOBE_MENSEKI_BITIKUSOUKO_SHINSEI">DATA!$F$1051</definedName>
    <definedName name="cst_wskakunin_NOBE_MENSEKI_BITIKUSOUKO_TOTAL">DATA!$F$1053</definedName>
    <definedName name="cst_wskakunin_NOBE_MENSEKI_BUILD_IGAI">DATA!$F$1027</definedName>
    <definedName name="cst_wskakunin_NOBE_MENSEKI_BUILD_SHINSEI">DATA!$F$1026</definedName>
    <definedName name="cst_wskakunin_NOBE_MENSEKI_BUILD_TOTAL">DATA!$F$1028</definedName>
    <definedName name="cst_wskakunin_NOBE_MENSEKI_CHOSUISOU_IGAI">DATA!$F$1067</definedName>
    <definedName name="cst_wskakunin_NOBE_MENSEKI_CHOSUISOU_SHINSEI">DATA!$F$1066</definedName>
    <definedName name="cst_wskakunin_NOBE_MENSEKI_CHOSUISOU_TOTAL">DATA!$F$1068</definedName>
    <definedName name="cst_wskakunin_NOBE_MENSEKI_JIKAHATUDEN_IGAI">DATA!$F$1062</definedName>
    <definedName name="cst_wskakunin_NOBE_MENSEKI_JIKAHATUDEN_SHINSEI">DATA!$F$1061</definedName>
    <definedName name="cst_wskakunin_NOBE_MENSEKI_JIKAHATUDEN_TOTAL">DATA!$F$1063</definedName>
    <definedName name="cst_wskakunin_NOBE_MENSEKI_JYUTAKU_IGAI">DATA!$F$1077</definedName>
    <definedName name="cst_wskakunin_NOBE_MENSEKI_JYUTAKU_SHINSEI">DATA!$F$1076</definedName>
    <definedName name="cst_wskakunin_NOBE_MENSEKI_JYUTAKU_TOTAL">DATA!$F$1078</definedName>
    <definedName name="cst_wskakunin_NOBE_MENSEKI_KYOYOU_IGAI">DATA!$F$1042</definedName>
    <definedName name="cst_wskakunin_NOBE_MENSEKI_KYOYOU_SHINSEI">DATA!$F$1041</definedName>
    <definedName name="cst_wskakunin_NOBE_MENSEKI_KYOYOU_TOTAL">DATA!$F$1043</definedName>
    <definedName name="cst_wskakunin_NOBE_MENSEKI_ROUJIN_IGAI">DATA!$F$1082</definedName>
    <definedName name="cst_wskakunin_NOBE_MENSEKI_ROUJIN_SHINSEI">DATA!$F$1081</definedName>
    <definedName name="cst_wskakunin_NOBE_MENSEKI_ROUJIN_TOTAL">DATA!$F$1083</definedName>
    <definedName name="cst_wskakunin_NOBE_MENSEKI_SYAKO_IGAI">DATA!$F$1047</definedName>
    <definedName name="cst_wskakunin_NOBE_MENSEKI_SYAKO_SHINSEI">DATA!$F$1046</definedName>
    <definedName name="cst_wskakunin_NOBE_MENSEKI_SYAKO_TOTAL">DATA!$F$1048</definedName>
    <definedName name="cst_wskakunin_NOBE_MENSEKI_SYOUKOURO_IGAI">DATA!$F$1037</definedName>
    <definedName name="cst_wskakunin_NOBE_MENSEKI_SYOUKOURO_SHINSEI">DATA!$F$1036</definedName>
    <definedName name="cst_wskakunin_NOBE_MENSEKI_SYOUKOURO_TOTAL">DATA!$F$1038</definedName>
    <definedName name="cst_wskakunin_NOBE_MENSEKI_TAKUHAI_IGAI">DATA!$F$1072</definedName>
    <definedName name="cst_wskakunin_NOBE_MENSEKI_TAKUHAI_SHINSEI">DATA!$F$1071</definedName>
    <definedName name="cst_wskakunin_NOBE_MENSEKI_TAKUHAI_TOTAL">DATA!$F$1073</definedName>
    <definedName name="cst_wskakunin_NOBE_MENSEKI_TIKAI_IGAI">DATA!$F$1032</definedName>
    <definedName name="cst_wskakunin_NOBE_MENSEKI_TIKAI_SHINSEI">DATA!$F$1031</definedName>
    <definedName name="cst_wskakunin_NOBE_MENSEKI_TIKAI_TOTAL">DATA!$F$1033</definedName>
    <definedName name="cst_wskakunin_NOBE_MENSEKI_TIKUDENTI_IGAI">DATA!$F$1057</definedName>
    <definedName name="cst_wskakunin_NOBE_MENSEKI_TIKUDENTI_SHINSEI">DATA!$F$1056</definedName>
    <definedName name="cst_wskakunin_NOBE_MENSEKI_TIKUDENTI_TOTAL">DATA!$F$1058</definedName>
    <definedName name="cst_wskakunin_owner1__address">DATA!$F$99</definedName>
    <definedName name="cst_wskakunin_owner1__space">DATA!$F$101</definedName>
    <definedName name="cst_wskakunin_owner1__space_KANA">DATA!$F$95</definedName>
    <definedName name="cst_wskakunin_owner1__space_KANA2">DATA!$F$96</definedName>
    <definedName name="cst_wskakunin_owner1__space2">DATA!$F$102</definedName>
    <definedName name="cst_wskakunin_owner1__space3">DATA!$F$103</definedName>
    <definedName name="cst_wskakunin_owner1__space4">DATA!$F$104</definedName>
    <definedName name="cst_wskakunin_owner1_JIMU_NAME">DATA!$F$89</definedName>
    <definedName name="cst_wskakunin_owner1_JIMU_NAME_KANA">DATA!$F$90</definedName>
    <definedName name="cst_wskakunin_owner1_NAME">DATA!$F$93</definedName>
    <definedName name="cst_wskakunin_owner1_NAME_KANA">DATA!$F$94</definedName>
    <definedName name="cst_wskakunin_owner1_POST">DATA!$F$91</definedName>
    <definedName name="cst_wskakunin_owner1_POST_KANA">DATA!$F$92</definedName>
    <definedName name="cst_wskakunin_owner1_TEL">DATA!$F$100</definedName>
    <definedName name="cst_wskakunin_owner1_ZIP">DATA!$F$97</definedName>
    <definedName name="cst_wskakunin_owner1_ZIP2">DATA!$F$98</definedName>
    <definedName name="cst_wskakunin_owner2__address">DATA!$F$114</definedName>
    <definedName name="cst_wskakunin_owner2__space">DATA!$F$116</definedName>
    <definedName name="cst_wskakunin_owner2__space2">DATA!$F$117</definedName>
    <definedName name="cst_wskakunin_owner2__space3">DATA!$F$118</definedName>
    <definedName name="cst_wskakunin_owner2_JIMU_NAME">DATA!$F$107</definedName>
    <definedName name="cst_wskakunin_owner2_JIMU_NAME_KANA">DATA!$F$108</definedName>
    <definedName name="cst_wskakunin_owner2_NAME">DATA!$F$111</definedName>
    <definedName name="cst_wskakunin_owner2_NAME_KANA">DATA!$F$112</definedName>
    <definedName name="cst_wskakunin_owner2_POST">DATA!$F$109</definedName>
    <definedName name="cst_wskakunin_owner2_POST_KANA">DATA!$F$110</definedName>
    <definedName name="cst_wskakunin_owner2_TEL">DATA!$F$115</definedName>
    <definedName name="cst_wskakunin_owner2_ZIP">DATA!$F$113</definedName>
    <definedName name="cst_wskakunin_owner3__address">DATA!$F$128</definedName>
    <definedName name="cst_wskakunin_owner3__space">DATA!$F$130</definedName>
    <definedName name="cst_wskakunin_owner3__space3">DATA!$F$131</definedName>
    <definedName name="cst_wskakunin_owner3_JIMU_NAME">DATA!$F$121</definedName>
    <definedName name="cst_wskakunin_owner3_JIMU_NAME_KANA">DATA!$F$122</definedName>
    <definedName name="cst_wskakunin_owner3_NAME">DATA!$F$125</definedName>
    <definedName name="cst_wskakunin_owner3_NAME_KANA">DATA!$F$126</definedName>
    <definedName name="cst_wskakunin_owner3_POST">DATA!$F$123</definedName>
    <definedName name="cst_wskakunin_owner3_POST_KANA">DATA!$F$124</definedName>
    <definedName name="cst_wskakunin_owner3_TEL">DATA!$F$129</definedName>
    <definedName name="cst_wskakunin_owner3_ZIP">DATA!$F$127</definedName>
    <definedName name="cst_wskakunin_owner4__address">DATA!$F$141</definedName>
    <definedName name="cst_wskakunin_owner4__space">DATA!$F$143</definedName>
    <definedName name="cst_wskakunin_owner4_JIMU_NAME">DATA!$F$134</definedName>
    <definedName name="cst_wskakunin_owner4_JIMU_NAME_KANA">DATA!$F$135</definedName>
    <definedName name="cst_wskakunin_owner4_NAME">DATA!$F$138</definedName>
    <definedName name="cst_wskakunin_owner4_NAME_KANA">DATA!$F$139</definedName>
    <definedName name="cst_wskakunin_owner4_POST">DATA!$F$136</definedName>
    <definedName name="cst_wskakunin_owner4_POST_KANA">DATA!$F$137</definedName>
    <definedName name="cst_wskakunin_owner4_TEL">DATA!$F$142</definedName>
    <definedName name="cst_wskakunin_owner4_ZIP">DATA!$F$140</definedName>
    <definedName name="cst_wskakunin_owner5__address">DATA!$F$153</definedName>
    <definedName name="cst_wskakunin_owner5__space">DATA!$F$155</definedName>
    <definedName name="cst_wskakunin_owner5_JIMU_NAME">DATA!$F$146</definedName>
    <definedName name="cst_wskakunin_owner5_JIMU_NAME_KANA">DATA!$F$147</definedName>
    <definedName name="cst_wskakunin_owner5_NAME">DATA!$F$150</definedName>
    <definedName name="cst_wskakunin_owner5_NAME_KANA">DATA!$F$151</definedName>
    <definedName name="cst_wskakunin_owner5_POST">DATA!$F$148</definedName>
    <definedName name="cst_wskakunin_owner5_POST_KANA">DATA!$F$149</definedName>
    <definedName name="cst_wskakunin_owner5_TEL">DATA!$F$154</definedName>
    <definedName name="cst_wskakunin_owner5_ZIP">DATA!$F$152</definedName>
    <definedName name="cst_wskakunin_owner6__address">DATA!$F$165</definedName>
    <definedName name="cst_wskakunin_owner6__space2">DATA!$F$176</definedName>
    <definedName name="cst_wskakunin_owner6__space3">DATA!$F$167</definedName>
    <definedName name="cst_wskakunin_owner6_JIMU_NAME">DATA!$F$158</definedName>
    <definedName name="cst_wskakunin_owner6_JIMU_NAME_KANA">DATA!$F$159</definedName>
    <definedName name="cst_wskakunin_owner6_NAME">DATA!$F$162</definedName>
    <definedName name="cst_wskakunin_owner6_NAME_KANA">DATA!$F$163</definedName>
    <definedName name="cst_wskakunin_owner6_POST">DATA!$F$160</definedName>
    <definedName name="cst_wskakunin_owner6_POST_KANA">DATA!$F$161</definedName>
    <definedName name="cst_wskakunin_owner6_TEL">DATA!$F$166</definedName>
    <definedName name="cst_wskakunin_owner6_ZIP">DATA!$F$164</definedName>
    <definedName name="cst_wskakunin_owner7__address">DATA!$F$177</definedName>
    <definedName name="cst_wskakunin_owner7_JIMU_NAME">DATA!$F$170</definedName>
    <definedName name="cst_wskakunin_owner7_JIMU_NAME_KANA">DATA!$F$171</definedName>
    <definedName name="cst_wskakunin_owner7_NAME">DATA!$F$174</definedName>
    <definedName name="cst_wskakunin_owner7_NAME_KANA">DATA!$F$175</definedName>
    <definedName name="cst_wskakunin_owner7_POST">DATA!$F$172</definedName>
    <definedName name="cst_wskakunin_owner7_POST_KANA">DATA!$F$173</definedName>
    <definedName name="cst_wskakunin_owner7_TEL">DATA!$F$178</definedName>
    <definedName name="cst_wskakunin_owner7_ZIP">DATA!$F$176</definedName>
    <definedName name="cst_wskakunin_owner8__address">DATA!$F$188</definedName>
    <definedName name="cst_wskakunin_owner8_JIMU_NAME">DATA!$F$181</definedName>
    <definedName name="cst_wskakunin_owner8_JIMU_NAME_KANA">DATA!$F$182</definedName>
    <definedName name="cst_wskakunin_owner8_NAME">DATA!$F$185</definedName>
    <definedName name="cst_wskakunin_owner8_NAME_KANA">DATA!$F$186</definedName>
    <definedName name="cst_wskakunin_owner8_POST">DATA!$F$183</definedName>
    <definedName name="cst_wskakunin_owner8_POST_KANA">DATA!$F$184</definedName>
    <definedName name="cst_wskakunin_owner8_TEL">DATA!$F$189</definedName>
    <definedName name="cst_wskakunin_owner8_ZIP">DATA!$F$187</definedName>
    <definedName name="cst_wskakunin_owner9__address">DATA!$F$199</definedName>
    <definedName name="cst_wskakunin_owner9_JIMU_NAME">DATA!$F$192</definedName>
    <definedName name="cst_wskakunin_owner9_JIMU_NAME_KANA">DATA!$F$193</definedName>
    <definedName name="cst_wskakunin_owner9_NAME">DATA!$F$196</definedName>
    <definedName name="cst_wskakunin_owner9_NAME_KANA">DATA!$F$197</definedName>
    <definedName name="cst_wskakunin_owner9_POST">DATA!$F$194</definedName>
    <definedName name="cst_wskakunin_owner9_POST_KANA">DATA!$F$195</definedName>
    <definedName name="cst_wskakunin_owner9_TEL">DATA!$F$200</definedName>
    <definedName name="cst_wskakunin_owner9_ZIP">DATA!$F$198</definedName>
    <definedName name="cst_wskakunin_P1_HENKOU_GAIYOU">DATA!$F$58</definedName>
    <definedName name="cst_wskakunin_P2_BIKOU">DATA!$F$849</definedName>
    <definedName name="cst_wskakunin_P3_BIKOU">DATA!$F$1183</definedName>
    <definedName name="cst_wskakunin_P3_SONOTA">DATA!$F$1181</definedName>
    <definedName name="cst_wskakunin_p4_1__kouji">DATA!$F$890</definedName>
    <definedName name="cst_wskakunin_p4_1_KAISU_TIKAI">DATA!$F$892</definedName>
    <definedName name="cst_wskakunin_p4_1_KAISU_TIKAI_NOZOKU">DATA!$F$891</definedName>
    <definedName name="cst_wskakunin_p4_1_KOUZOU1">DATA!$F$893</definedName>
    <definedName name="cst_wskakunin_p4_1_KOUZOU2">DATA!$F$894</definedName>
    <definedName name="cst_wskakunin_p4_1_TAKASA_KEN_MAX">DATA!$F$896</definedName>
    <definedName name="cst_wskakunin_p4_1_TAKASA_MAX">DATA!$F$895</definedName>
    <definedName name="cst_wskakunin_p4_1_youto1_YOUTO">DATA!$F$881</definedName>
    <definedName name="cst_wskakunin_p4_1_youto1_YOUTO_1">DATA!$F$883</definedName>
    <definedName name="cst_wskakunin_p4_1_youto1_YOUTO_2">DATA!$F$884</definedName>
    <definedName name="cst_wskakunin_p4_1_youto1_YOUTO_3">DATA!$F$885</definedName>
    <definedName name="cst_wskakunin_p4_1_youto1_YOUTO_4">DATA!$F$886</definedName>
    <definedName name="cst_wskakunin_p4_1_youto1_YOUTO_5">DATA!$F$887</definedName>
    <definedName name="cst_wskakunin_p4_1_youto1_YOUTO_6">DATA!$F$888</definedName>
    <definedName name="cst_wskakunin_p4_1_youto1_YOUTO_9">DATA!$F$889</definedName>
    <definedName name="cst_wskakunin_p4_1_youto1_YOUTO_CODE">DATA!$F$882</definedName>
    <definedName name="cst_wskakunin_p4_1_YUKA_MENSEKI_SHINSEI">DATA!$F$897</definedName>
    <definedName name="cst_wskakunin_p4_2_KAISU_TIKAI">DATA!$F$900</definedName>
    <definedName name="cst_wskakunin_p4_2_KAISU_TIKAI_NOZOKU">DATA!$F$899</definedName>
    <definedName name="cst_wskakunin_p4_2_YUKA_MENSEKI_SHINSEI">DATA!$F$901</definedName>
    <definedName name="cst_wskakunin_p4_3_KAISU_TIKAI">DATA!$F$904</definedName>
    <definedName name="cst_wskakunin_p4_3_KAISU_TIKAI_NOZOKU">DATA!$F$903</definedName>
    <definedName name="cst_wskakunin_p4_3_YUKA_MENSEKI_SHINSEI">DATA!$F$905</definedName>
    <definedName name="cst_wskakunin_PAGE1_ALTERATION_NOTE">DATA!$F$65</definedName>
    <definedName name="cst_wskakunin_sekkei1__address">DATA!$F$305</definedName>
    <definedName name="cst_wskakunin_sekkei1__sikaku">DATA!$F$293</definedName>
    <definedName name="cst_wskakunin_sekkei1_DOC">DATA!$F$307</definedName>
    <definedName name="cst_wskakunin_sekkei1_JIMU__sikaku">DATA!$F$298</definedName>
    <definedName name="cst_wskakunin_sekkei1_JIMU_NAME">DATA!$F$302</definedName>
    <definedName name="cst_wskakunin_sekkei1_JIMU_NO">DATA!$F$301</definedName>
    <definedName name="cst_wskakunin_sekkei1_JIMU_SIKAKU">DATA!$F$299</definedName>
    <definedName name="cst_wskakunin_sekkei1_JIMU_TOUROKU_KIKAN">DATA!$F$300</definedName>
    <definedName name="cst_wskakunin_sekkei1_jimuname_name">DATA!$F$303</definedName>
    <definedName name="cst_wskakunin_sekkei1_KENTIKUSI_NO">DATA!$F$296</definedName>
    <definedName name="cst_wskakunin_sekkei1_NAME">DATA!$F$297</definedName>
    <definedName name="cst_wskakunin_sekkei1_SIKAKU">DATA!$F$294</definedName>
    <definedName name="cst_wskakunin_sekkei1_TEL">DATA!$F$306</definedName>
    <definedName name="cst_wskakunin_sekkei1_TOUROKU_KIKAN">DATA!$F$295</definedName>
    <definedName name="cst_wskakunin_sekkei1_ZIP">DATA!$F$304</definedName>
    <definedName name="cst_wskakunin_sekkei10__address">DATA!$F$458</definedName>
    <definedName name="cst_wskakunin_sekkei10__sikaku">DATA!$F$446</definedName>
    <definedName name="cst_wskakunin_sekkei10_DOC">DATA!$F$460</definedName>
    <definedName name="cst_wskakunin_sekkei10_JIMU__sikaku">DATA!$F$451</definedName>
    <definedName name="cst_wskakunin_sekkei10_JIMU_NAME">DATA!$F$455</definedName>
    <definedName name="cst_wskakunin_sekkei10_JIMU_NO">DATA!$F$454</definedName>
    <definedName name="cst_wskakunin_sekkei10_JIMU_SIKAKU">DATA!$F$452</definedName>
    <definedName name="cst_wskakunin_sekkei10_JIMU_TOUROKU_KIKAN">DATA!$F$453</definedName>
    <definedName name="cst_wskakunin_sekkei10_jimuname_name">DATA!$F$456</definedName>
    <definedName name="cst_wskakunin_sekkei10_KENTIKUSI_NO">DATA!$F$449</definedName>
    <definedName name="cst_wskakunin_sekkei10_NAME">DATA!$F$450</definedName>
    <definedName name="cst_wskakunin_sekkei10_SIKAKU">DATA!$F$447</definedName>
    <definedName name="cst_wskakunin_sekkei10_TEL">DATA!$F$459</definedName>
    <definedName name="cst_wskakunin_sekkei10_TOUROKU_KIKAN">DATA!$F$448</definedName>
    <definedName name="cst_wskakunin_sekkei10_ZIP">DATA!$F$457</definedName>
    <definedName name="cst_wskakunin_sekkei11__address">DATA!$F$475</definedName>
    <definedName name="cst_wskakunin_sekkei11__sikaku">DATA!$F$463</definedName>
    <definedName name="cst_wskakunin_sekkei11_DOC">DATA!$F$477</definedName>
    <definedName name="cst_wskakunin_sekkei11_JIMU__sikaku">DATA!$F$468</definedName>
    <definedName name="cst_wskakunin_sekkei11_JIMU_NAME">DATA!$F$472</definedName>
    <definedName name="cst_wskakunin_sekkei11_JIMU_NO">DATA!$F$471</definedName>
    <definedName name="cst_wskakunin_sekkei11_JIMU_SIKAKU">DATA!$F$469</definedName>
    <definedName name="cst_wskakunin_sekkei11_JIMU_TOUROKU_KIKAN">DATA!$F$470</definedName>
    <definedName name="cst_wskakunin_sekkei11_jimuname_name">DATA!$F$473</definedName>
    <definedName name="cst_wskakunin_sekkei11_KENTIKUSI_NO">DATA!$F$466</definedName>
    <definedName name="cst_wskakunin_sekkei11_NAME">DATA!$F$467</definedName>
    <definedName name="cst_wskakunin_sekkei11_SIKAKU">DATA!$F$464</definedName>
    <definedName name="cst_wskakunin_sekkei11_TEL">DATA!$F$476</definedName>
    <definedName name="cst_wskakunin_sekkei11_TOUROKU_KIKAN">DATA!$F$465</definedName>
    <definedName name="cst_wskakunin_sekkei11_ZIP">DATA!$F$474</definedName>
    <definedName name="cst_wskakunin_sekkei12__address">DATA!$F$492</definedName>
    <definedName name="cst_wskakunin_sekkei12__sikaku">DATA!$F$480</definedName>
    <definedName name="cst_wskakunin_sekkei12_DOC">DATA!$F$494</definedName>
    <definedName name="cst_wskakunin_sekkei12_JIMU__sikaku">DATA!$F$485</definedName>
    <definedName name="cst_wskakunin_sekkei12_JIMU_NAME">DATA!$F$489</definedName>
    <definedName name="cst_wskakunin_sekkei12_JIMU_NO">DATA!$F$488</definedName>
    <definedName name="cst_wskakunin_sekkei12_JIMU_SIKAKU">DATA!$F$486</definedName>
    <definedName name="cst_wskakunin_sekkei12_JIMU_TOUROKU_KIKAN">DATA!$F$487</definedName>
    <definedName name="cst_wskakunin_sekkei12_jimuname_name">DATA!$F$490</definedName>
    <definedName name="cst_wskakunin_sekkei12_KENTIKUSI_NO">DATA!$F$483</definedName>
    <definedName name="cst_wskakunin_sekkei12_NAME">DATA!$F$484</definedName>
    <definedName name="cst_wskakunin_sekkei12_SIKAKU">DATA!$F$481</definedName>
    <definedName name="cst_wskakunin_sekkei12_TEL">DATA!$F$493</definedName>
    <definedName name="cst_wskakunin_sekkei12_TOUROKU_KIKAN">DATA!$F$482</definedName>
    <definedName name="cst_wskakunin_sekkei12_ZIP">DATA!$F$491</definedName>
    <definedName name="cst_wskakunin_sekkei2__address">DATA!$F$322</definedName>
    <definedName name="cst_wskakunin_sekkei2__sikaku">DATA!$F$310</definedName>
    <definedName name="cst_wskakunin_sekkei2_DOC">DATA!$F$324</definedName>
    <definedName name="cst_wskakunin_sekkei2_JIMU__sikaku">DATA!$F$315</definedName>
    <definedName name="cst_wskakunin_sekkei2_JIMU_NAME">DATA!$F$319</definedName>
    <definedName name="cst_wskakunin_sekkei2_JIMU_NO">DATA!$F$318</definedName>
    <definedName name="cst_wskakunin_sekkei2_JIMU_SIKAKU">DATA!$F$316</definedName>
    <definedName name="cst_wskakunin_sekkei2_JIMU_TOUROKU_KIKAN">DATA!$F$317</definedName>
    <definedName name="cst_wskakunin_sekkei2_jimuname_name">DATA!$F$320</definedName>
    <definedName name="cst_wskakunin_sekkei2_KENTIKUSI_NO">DATA!$F$313</definedName>
    <definedName name="cst_wskakunin_sekkei2_NAME">DATA!$F$314</definedName>
    <definedName name="cst_wskakunin_sekkei2_SIKAKU">DATA!$F$311</definedName>
    <definedName name="cst_wskakunin_sekkei2_TEL">DATA!$F$323</definedName>
    <definedName name="cst_wskakunin_sekkei2_TOUROKU_KIKAN">DATA!$F$312</definedName>
    <definedName name="cst_wskakunin_sekkei2_ZIP">DATA!$F$321</definedName>
    <definedName name="cst_wskakunin_sekkei3__address">DATA!$F$339</definedName>
    <definedName name="cst_wskakunin_sekkei3__sikaku">DATA!$F$327</definedName>
    <definedName name="cst_wskakunin_sekkei3_DOC">DATA!$F$341</definedName>
    <definedName name="cst_wskakunin_sekkei3_JIMU__sikaku">DATA!$F$332</definedName>
    <definedName name="cst_wskakunin_sekkei3_JIMU_NAME">DATA!$F$336</definedName>
    <definedName name="cst_wskakunin_sekkei3_JIMU_NO">DATA!$F$335</definedName>
    <definedName name="cst_wskakunin_sekkei3_JIMU_SIKAKU">DATA!$F$333</definedName>
    <definedName name="cst_wskakunin_sekkei3_JIMU_TOUROKU_KIKAN">DATA!$F$334</definedName>
    <definedName name="cst_wskakunin_sekkei3_jimuname_name">DATA!$F$337</definedName>
    <definedName name="cst_wskakunin_sekkei3_KENTIKUSI_NO">DATA!$F$330</definedName>
    <definedName name="cst_wskakunin_sekkei3_NAME">DATA!$F$331</definedName>
    <definedName name="cst_wskakunin_sekkei3_SIKAKU">DATA!$F$328</definedName>
    <definedName name="cst_wskakunin_sekkei3_TEL">DATA!$F$340</definedName>
    <definedName name="cst_wskakunin_sekkei3_TOUROKU_KIKAN">DATA!$F$329</definedName>
    <definedName name="cst_wskakunin_sekkei3_ZIP">DATA!$F$338</definedName>
    <definedName name="cst_wskakunin_sekkei4__address">DATA!$F$356</definedName>
    <definedName name="cst_wskakunin_sekkei4__sikaku">DATA!$F$344</definedName>
    <definedName name="cst_wskakunin_sekkei4_DOC">DATA!$F$358</definedName>
    <definedName name="cst_wskakunin_sekkei4_JIMU__sikaku">DATA!$F$349</definedName>
    <definedName name="cst_wskakunin_sekkei4_JIMU_NAME">DATA!$F$353</definedName>
    <definedName name="cst_wskakunin_sekkei4_JIMU_NO">DATA!$F$352</definedName>
    <definedName name="cst_wskakunin_sekkei4_JIMU_SIKAKU">DATA!$F$350</definedName>
    <definedName name="cst_wskakunin_sekkei4_JIMU_TOUROKU_KIKAN">DATA!$F$351</definedName>
    <definedName name="cst_wskakunin_sekkei4_jimuname_name">DATA!$F$354</definedName>
    <definedName name="cst_wskakunin_sekkei4_KENTIKUSI_NO">DATA!$F$347</definedName>
    <definedName name="cst_wskakunin_sekkei4_NAME">DATA!$F$348</definedName>
    <definedName name="cst_wskakunin_sekkei4_SIKAKU">DATA!$F$345</definedName>
    <definedName name="cst_wskakunin_sekkei4_TEL">DATA!$F$357</definedName>
    <definedName name="cst_wskakunin_sekkei4_TOUROKU_KIKAN">DATA!$F$346</definedName>
    <definedName name="cst_wskakunin_sekkei4_ZIP">DATA!$F$355</definedName>
    <definedName name="cst_wskakunin_sekkei5__address">DATA!$F$373</definedName>
    <definedName name="cst_wskakunin_sekkei5__sikaku">DATA!$F$361</definedName>
    <definedName name="cst_wskakunin_sekkei5_DOC">DATA!$F$375</definedName>
    <definedName name="cst_wskakunin_sekkei5_JIMU__sikaku">DATA!$F$366</definedName>
    <definedName name="cst_wskakunin_sekkei5_JIMU_NAME">DATA!$F$370</definedName>
    <definedName name="cst_wskakunin_sekkei5_JIMU_NO">DATA!$F$369</definedName>
    <definedName name="cst_wskakunin_sekkei5_JIMU_SIKAKU">DATA!$F$367</definedName>
    <definedName name="cst_wskakunin_sekkei5_JIMU_TOUROKU_KIKAN">DATA!$F$368</definedName>
    <definedName name="cst_wskakunin_sekkei5_jimuname_name">DATA!$F$371</definedName>
    <definedName name="cst_wskakunin_sekkei5_KENTIKUSI_NO">DATA!$F$364</definedName>
    <definedName name="cst_wskakunin_sekkei5_NAME">DATA!$F$365</definedName>
    <definedName name="cst_wskakunin_sekkei5_SIKAKU">DATA!$F$362</definedName>
    <definedName name="cst_wskakunin_sekkei5_TEL">DATA!$F$374</definedName>
    <definedName name="cst_wskakunin_sekkei5_TOUROKU_KIKAN">DATA!$F$363</definedName>
    <definedName name="cst_wskakunin_sekkei5_ZIP">DATA!$F$372</definedName>
    <definedName name="cst_wskakunin_sekkei6__address">DATA!$F$390</definedName>
    <definedName name="cst_wskakunin_sekkei6__sikaku">DATA!$F$378</definedName>
    <definedName name="cst_wskakunin_sekkei6_DOC">DATA!$F$392</definedName>
    <definedName name="cst_wskakunin_sekkei6_JIMU__sikaku">DATA!$F$383</definedName>
    <definedName name="cst_wskakunin_sekkei6_JIMU_NAME">DATA!$F$387</definedName>
    <definedName name="cst_wskakunin_sekkei6_JIMU_NO">DATA!$F$386</definedName>
    <definedName name="cst_wskakunin_sekkei6_JIMU_SIKAKU">DATA!$F$384</definedName>
    <definedName name="cst_wskakunin_sekkei6_JIMU_TOUROKU_KIKAN">DATA!$F$385</definedName>
    <definedName name="cst_wskakunin_sekkei6_jimuname_name">DATA!$F$388</definedName>
    <definedName name="cst_wskakunin_sekkei6_KENTIKUSI_NO">DATA!$F$381</definedName>
    <definedName name="cst_wskakunin_sekkei6_NAME">DATA!$F$382</definedName>
    <definedName name="cst_wskakunin_sekkei6_SIKAKU">DATA!$F$379</definedName>
    <definedName name="cst_wskakunin_sekkei6_TEL">DATA!$F$391</definedName>
    <definedName name="cst_wskakunin_sekkei6_TOUROKU_KIKAN">DATA!$F$380</definedName>
    <definedName name="cst_wskakunin_sekkei6_ZIP">DATA!$F$389</definedName>
    <definedName name="cst_wskakunin_sekkei7__address">DATA!$F$407</definedName>
    <definedName name="cst_wskakunin_sekkei7__sikaku">DATA!$F$395</definedName>
    <definedName name="cst_wskakunin_sekkei7_DOC">DATA!$F$409</definedName>
    <definedName name="cst_wskakunin_sekkei7_JIMU__sikaku">DATA!$F$400</definedName>
    <definedName name="cst_wskakunin_sekkei7_JIMU_NAME">DATA!$F$404</definedName>
    <definedName name="cst_wskakunin_sekkei7_JIMU_NO">DATA!$F$403</definedName>
    <definedName name="cst_wskakunin_sekkei7_JIMU_SIKAKU">DATA!$F$401</definedName>
    <definedName name="cst_wskakunin_sekkei7_JIMU_TOUROKU_KIKAN">DATA!$F$402</definedName>
    <definedName name="cst_wskakunin_sekkei7_jimuname_name">DATA!$F$405</definedName>
    <definedName name="cst_wskakunin_sekkei7_KENTIKUSI_NO">DATA!$F$398</definedName>
    <definedName name="cst_wskakunin_sekkei7_NAME">DATA!$F$399</definedName>
    <definedName name="cst_wskakunin_sekkei7_SIKAKU">DATA!$F$396</definedName>
    <definedName name="cst_wskakunin_sekkei7_TEL">DATA!$F$408</definedName>
    <definedName name="cst_wskakunin_sekkei7_TOUROKU_KIKAN">DATA!$F$397</definedName>
    <definedName name="cst_wskakunin_sekkei7_ZIP">DATA!$F$406</definedName>
    <definedName name="cst_wskakunin_sekkei8__address">DATA!$F$424</definedName>
    <definedName name="cst_wskakunin_sekkei8__sikaku">DATA!$F$412</definedName>
    <definedName name="cst_wskakunin_sekkei8_DOC">DATA!$F$426</definedName>
    <definedName name="cst_wskakunin_sekkei8_JIMU__sikaku">DATA!$F$417</definedName>
    <definedName name="cst_wskakunin_sekkei8_JIMU_NAME">DATA!$F$421</definedName>
    <definedName name="cst_wskakunin_sekkei8_JIMU_NO">DATA!$F$420</definedName>
    <definedName name="cst_wskakunin_sekkei8_JIMU_SIKAKU">DATA!$F$418</definedName>
    <definedName name="cst_wskakunin_sekkei8_JIMU_TOUROKU_KIKAN">DATA!$F$419</definedName>
    <definedName name="cst_wskakunin_sekkei8_jimuname_name">DATA!$F$422</definedName>
    <definedName name="cst_wskakunin_sekkei8_KENTIKUSI_NO">DATA!$F$415</definedName>
    <definedName name="cst_wskakunin_sekkei8_NAME">DATA!$F$416</definedName>
    <definedName name="cst_wskakunin_sekkei8_SIKAKU">DATA!$F$413</definedName>
    <definedName name="cst_wskakunin_sekkei8_TEL">DATA!$F$425</definedName>
    <definedName name="cst_wskakunin_sekkei8_TOUROKU_KIKAN">DATA!$F$414</definedName>
    <definedName name="cst_wskakunin_sekkei8_ZIP">DATA!$F$423</definedName>
    <definedName name="cst_wskakunin_sekkei9__address">DATA!$F$441</definedName>
    <definedName name="cst_wskakunin_sekkei9__sikaku">DATA!$F$429</definedName>
    <definedName name="cst_wskakunin_sekkei9_DOC">DATA!$F$443</definedName>
    <definedName name="cst_wskakunin_sekkei9_JIMU__sikaku">DATA!$F$434</definedName>
    <definedName name="cst_wskakunin_sekkei9_JIMU_NAME">DATA!$F$438</definedName>
    <definedName name="cst_wskakunin_sekkei9_JIMU_NO">DATA!$F$437</definedName>
    <definedName name="cst_wskakunin_sekkei9_JIMU_SIKAKU">DATA!$F$435</definedName>
    <definedName name="cst_wskakunin_sekkei9_JIMU_TOUROKU_KIKAN">DATA!$F$436</definedName>
    <definedName name="cst_wskakunin_sekkei9_jimuname_name">DATA!$F$439</definedName>
    <definedName name="cst_wskakunin_sekkei9_KENTIKUSI_NO">DATA!$F$432</definedName>
    <definedName name="cst_wskakunin_sekkei9_NAME">DATA!$F$433</definedName>
    <definedName name="cst_wskakunin_sekkei9_SIKAKU">DATA!$F$430</definedName>
    <definedName name="cst_wskakunin_sekkei9_TEL">DATA!$F$442</definedName>
    <definedName name="cst_wskakunin_sekkei9_TOUROKU_KIKAN">DATA!$F$431</definedName>
    <definedName name="cst_wskakunin_sekkei9_ZIP">DATA!$F$440</definedName>
    <definedName name="cst_wskakunin_sekou1__address">DATA!$F$790</definedName>
    <definedName name="cst_wskakunin_sekou1__hajime">DATA!$F$844</definedName>
    <definedName name="cst_wskakunin_sekou1__kistar">DATA!$F$845</definedName>
    <definedName name="cst_wskakunin_sekou1_JIMU_NAME">DATA!$F$788</definedName>
    <definedName name="cst_wskakunin_sekou1_kakunin">DATA!$F$792</definedName>
    <definedName name="cst_wskakunin_sekou1_NAME">DATA!$F$784</definedName>
    <definedName name="cst_wskakunin_sekou1_SEKOU__sikaku">DATA!$F$785</definedName>
    <definedName name="cst_wskakunin_sekou1_SEKOU_NO">DATA!$F$787</definedName>
    <definedName name="cst_wskakunin_sekou1_SEKOU_SIKAKU">DATA!$F$786</definedName>
    <definedName name="cst_wskakunin_sekou1_TEL">DATA!$F$791</definedName>
    <definedName name="cst_wskakunin_sekou1_ZIP">DATA!$F$789</definedName>
    <definedName name="cst_wskakunin_sekou2__address">DATA!$F$800</definedName>
    <definedName name="cst_wskakunin_sekou2_JIMU_NAME">DATA!$F$798</definedName>
    <definedName name="cst_wskakunin_sekou2_NAME">DATA!$F$794</definedName>
    <definedName name="cst_wskakunin_sekou2_SEKOU__sikaku">DATA!$F$795</definedName>
    <definedName name="cst_wskakunin_sekou2_SEKOU_NO">DATA!$F$797</definedName>
    <definedName name="cst_wskakunin_sekou2_SEKOU_SIKAKU">DATA!$F$796</definedName>
    <definedName name="cst_wskakunin_sekou2_TEL">DATA!$F$801</definedName>
    <definedName name="cst_wskakunin_sekou2_ZIP">DATA!$F$799</definedName>
    <definedName name="cst_wskakunin_sekou3__address">DATA!$F$810</definedName>
    <definedName name="cst_wskakunin_sekou3_JIMU_NAME">DATA!$F$808</definedName>
    <definedName name="cst_wskakunin_sekou3_NAME">DATA!$F$804</definedName>
    <definedName name="cst_wskakunin_sekou3_SEKOU__sikaku">DATA!$F$805</definedName>
    <definedName name="cst_wskakunin_sekou3_SEKOU_NO">DATA!$F$807</definedName>
    <definedName name="cst_wskakunin_sekou3_SEKOU_SIKAKU">DATA!$F$806</definedName>
    <definedName name="cst_wskakunin_sekou3_TEL">DATA!$F$811</definedName>
    <definedName name="cst_wskakunin_sekou3_ZIP">DATA!$F$809</definedName>
    <definedName name="cst_wskakunin_sekou4__address">DATA!$F$820</definedName>
    <definedName name="cst_wskakunin_sekou4_JIMU_NAME">DATA!$F$818</definedName>
    <definedName name="cst_wskakunin_sekou4_NAME">DATA!$F$814</definedName>
    <definedName name="cst_wskakunin_sekou4_SEKOU__sikaku">DATA!$F$815</definedName>
    <definedName name="cst_wskakunin_sekou4_SEKOU_NO">DATA!$F$817</definedName>
    <definedName name="cst_wskakunin_sekou4_SEKOU_SIKAKU">DATA!$F$816</definedName>
    <definedName name="cst_wskakunin_sekou4_TEL">DATA!$F$821</definedName>
    <definedName name="cst_wskakunin_sekou4_ZIP">DATA!$F$819</definedName>
    <definedName name="cst_wskakunin_sekou5__address">DATA!$F$830</definedName>
    <definedName name="cst_wskakunin_sekou5_JIMU_NAME">DATA!$F$828</definedName>
    <definedName name="cst_wskakunin_sekou5_NAME">DATA!$F$824</definedName>
    <definedName name="cst_wskakunin_sekou5_SEKOU__sikaku">DATA!$F$825</definedName>
    <definedName name="cst_wskakunin_sekou5_SEKOU_NO">DATA!$F$827</definedName>
    <definedName name="cst_wskakunin_sekou5_SEKOU_SIKAKU">DATA!$F$826</definedName>
    <definedName name="cst_wskakunin_sekou5_TEL">DATA!$F$831</definedName>
    <definedName name="cst_wskakunin_sekou5_ZIP">DATA!$F$829</definedName>
    <definedName name="cst_wskakunin_sekou6__address">DATA!$F$840</definedName>
    <definedName name="cst_wskakunin_sekou6_JIMU_NAME">DATA!$F$838</definedName>
    <definedName name="cst_wskakunin_sekou6_NAME">DATA!$F$834</definedName>
    <definedName name="cst_wskakunin_sekou6_SEKOU__sikaku">DATA!$F$835</definedName>
    <definedName name="cst_wskakunin_sekou6_SEKOU_NO">DATA!$F$837</definedName>
    <definedName name="cst_wskakunin_sekou6_SEKOU_SIKAKU">DATA!$F$836</definedName>
    <definedName name="cst_wskakunin_sekou6_TEL">DATA!$F$841</definedName>
    <definedName name="cst_wskakunin_sekou6_ZIP">DATA!$F$839</definedName>
    <definedName name="cst_wskakunin_SHIKITI_MENSEKI_1_TOTAL">DATA!$F$968</definedName>
    <definedName name="cst_wskakunin_SHIKITI_MENSEKI_1_TOTAL_sintiku">DATA!$F$969</definedName>
    <definedName name="cst_wskakunin_SHIKITI_MENSEKI_1A">DATA!$F$944</definedName>
    <definedName name="cst_wskakunin_SHIKITI_MENSEKI_1B">DATA!$F$945</definedName>
    <definedName name="cst_wskakunin_SHIKITI_MENSEKI_1C">DATA!$F$946</definedName>
    <definedName name="cst_wskakunin_SHIKITI_MENSEKI_1D">DATA!$F$947</definedName>
    <definedName name="cst_wskakunin_SHIKITI_MENSEKI_2_TOTAL">DATA!$F$970</definedName>
    <definedName name="cst_wskakunin_SHIKITI_MENSEKI_2A">DATA!$F$948</definedName>
    <definedName name="cst_wskakunin_SHIKITI_MENSEKI_2B">DATA!$F$949</definedName>
    <definedName name="cst_wskakunin_SHIKITI_MENSEKI_2C">DATA!$F$950</definedName>
    <definedName name="cst_wskakunin_SHIKITI_MENSEKI_2D">DATA!$F$951</definedName>
    <definedName name="cst_wskakunin_SHIKITI_MENSEKI_BIKOU">DATA!$F$973</definedName>
    <definedName name="cst_wskakunin_SHINSEI_DATE">DATA!$F$53</definedName>
    <definedName name="cst_wskakunin_TAKASA_MAX_SHINSEI">DATA!$F$1097</definedName>
    <definedName name="cst_wskakunin_TAKASA_MAX_SONOTA">DATA!$F$1098</definedName>
    <definedName name="cst_wskakunin_tekihan01_TEKIHAN_KIKAN_ADDRESS">DATA!$F$859</definedName>
    <definedName name="cst_wskakunin_tekihan01_TEKIHAN_KIKAN_info">DATA!$F$860</definedName>
    <definedName name="cst_wskakunin_tekihan01_TEKIHAN_KIKAN_KEN__ken">DATA!$F$858</definedName>
    <definedName name="cst_wskakunin_tekihan01_TEKIHAN_KIKAN_NAME">DATA!$F$857</definedName>
    <definedName name="cst_wskakunin_tekihan01_TEKIHAN_STATE_mishinsei">DATA!$F$855</definedName>
    <definedName name="cst_wskakunin_tekihan01_TEKIHAN_STATE_shinsei">DATA!$F$854</definedName>
    <definedName name="cst_wskakunin_tekihan01_TEKIHAN_STATE_shinseifuyou">DATA!$F$856</definedName>
    <definedName name="cst_wskakunin_tekihan02_TEKIHAN_KIKAN_ADDRESS">DATA!$F$863</definedName>
    <definedName name="cst_wskakunin_tekihan02_TEKIHAN_KIKAN_info">DATA!$F$864</definedName>
    <definedName name="cst_wskakunin_tekihan02_TEKIHAN_KIKAN_KEN__ken">DATA!$F$862</definedName>
    <definedName name="cst_wskakunin_tekihan02_TEKIHAN_KIKAN_NAME">DATA!$F$861</definedName>
    <definedName name="cst_wskakunin_TOKUREI_TAKASA">DATA!$F$1112</definedName>
    <definedName name="cst_wskakunin_TOKUREI_TAKASA_box_off">DATA!$F$1114</definedName>
    <definedName name="cst_wskakunin_TOKUREI_TAKASA_box_on">DATA!$F$1113</definedName>
    <definedName name="cst_wskakunin_TOKUREI_TAKASA_DOURO">DATA!$F$1117</definedName>
    <definedName name="cst_wskakunin_TOKUREI_TAKASA_KITA">DATA!$F$1119</definedName>
    <definedName name="cst_wskakunin_TOKUREI_TAKASA_RINTI">DATA!$F$1118</definedName>
    <definedName name="cst_wskakunin_TOKUREI_txt">DATA!$F$1190</definedName>
    <definedName name="cst_wskakunin_TOKUTEI_KOUJI_KANRYOU_DATE_select">DATA!$F$1206</definedName>
    <definedName name="cst_wskakunin_TOKUTEI_KOUTEI">DATA!$F$1203</definedName>
    <definedName name="cst_wskakunin_TOKUTEI_KOUTEI_inter1">DATA!$F$1204</definedName>
    <definedName name="cst_wskakunin_TOKUTEI_KOUTEI_inter2">DATA!$F$1205</definedName>
    <definedName name="cst_wskakunin_wskakunin_SONOTA_KUIKI">DATA!$F$936</definedName>
    <definedName name="cst_wskakunin_YOUSEKI_RITU">DATA!$F$1089</definedName>
    <definedName name="cst_wskakunin_YOUSEKI_RITU_A">DATA!$F$958</definedName>
    <definedName name="cst_wskakunin_YOUSEKI_RITU_B">DATA!$F$959</definedName>
    <definedName name="cst_wskakunin_YOUSEKI_RITU_C">DATA!$F$960</definedName>
    <definedName name="cst_wskakunin_YOUSEKI_RITU_D">DATA!$F$961</definedName>
    <definedName name="cst_wskakunin_YOUTO">DATA!$F$976</definedName>
    <definedName name="cst_wskakunin_YOUTO_CODE">DATA!$F$975</definedName>
    <definedName name="cst_wskakunin_YOUTO_TIIKI_A">DATA!$F$953</definedName>
    <definedName name="cst_wskakunin_YOUTO_TIIKI_B">DATA!$F$954</definedName>
    <definedName name="cst_wskakunin_YOUTO_TIIKI_C">DATA!$F$955</definedName>
    <definedName name="cst_wskakunin_YOUTO_TIIKI_D">DATA!$F$956</definedName>
    <definedName name="cst_wssonota_owner1__address">DATA!$F$80</definedName>
    <definedName name="cst_wssonota_owner1__space">DATA!$F$77</definedName>
    <definedName name="cst_wssonota_owner1_JIMU_NAME">DATA!$F$71</definedName>
    <definedName name="cst_wssonota_owner1_NAME">DATA!$F$75</definedName>
    <definedName name="cst_wssonota_owner1_POST">DATA!$F$73</definedName>
    <definedName name="cst_wssonota_owner1_TEL">DATA!$F$81</definedName>
    <definedName name="cst_wssonota_owner1_ZIP">DATA!$F$79</definedName>
    <definedName name="_xlnm.Print_Area" localSheetId="9">委任状!$A$1:$W$40</definedName>
    <definedName name="_xlnm.Print_Area" localSheetId="15">記載事項変更届!$A$1:$AA$50</definedName>
    <definedName name="_xlnm.Print_Area" localSheetId="21">計画廃止届!$A$1:$U$22</definedName>
    <definedName name="_xlnm.Print_Area" localSheetId="16">軽微な変更説明書!$A$1:$V$64</definedName>
    <definedName name="_xlnm.Print_Area" localSheetId="11">建築工事届!$A$1:$AB$122</definedName>
    <definedName name="_xlnm.Print_Area" localSheetId="13">工事監理計画届!$A$1:$AG$18</definedName>
    <definedName name="_xlnm.Print_Area" localSheetId="20">取下げ届_仮使用!$A$1:$W$26</definedName>
    <definedName name="_xlnm.Print_Area" localSheetId="17">取下げ届_確認!$A$1:$X$26</definedName>
    <definedName name="_xlnm.Print_Area" localSheetId="19">取下げ届_完了!$A$1:$X$26</definedName>
    <definedName name="_xlnm.Print_Area" localSheetId="18">取下げ届_中間!$A$1:$X$26</definedName>
    <definedName name="_xlnm.Print_Area" localSheetId="12">第四面!$A$1:$G$14</definedName>
    <definedName name="_xlnm.Print_Area" localSheetId="23">届出者別紙!$A$1:$AG$18</definedName>
    <definedName name="shinsei_build_p6_01_PAGE6_KOUZOU_KEISAN_KIND__002">DATA!$D$50</definedName>
    <definedName name="shinsei_build_p6_01_PAGE6_KOUZOU_KEISAN_KIND__004">DATA!$D$49</definedName>
    <definedName name="shinsei_build_p6_01_PAGE6_KOUZOU_KEISAN_KIND__005">DATA!$D$48</definedName>
    <definedName name="shinsei_build_YOUTO">DATA!$D$1335</definedName>
    <definedName name="shinsei_HIKIUKE_DATE">DATA!$D$38</definedName>
    <definedName name="shinsei_ISSUE_DATE">DATA!$D$43</definedName>
    <definedName name="shinsei_ISSUE_KOUFU_NAME">DATA!$D$45</definedName>
    <definedName name="shinsei_ISSUE_NO">DATA!$D$40</definedName>
    <definedName name="shinsei_KAKU_SUMI_NO">DATA!$D$41</definedName>
    <definedName name="shinsei_PROVO_DATE">DATA!$D$32</definedName>
    <definedName name="shinsei_PROVO_NO">DATA!$D$33</definedName>
    <definedName name="shinsei_UKETUKE_NO">DATA!$D$36</definedName>
    <definedName name="shinsei_UNIT_COUNT">DATA!$D$977</definedName>
    <definedName name="showsheetflag_cst_DATA">dSHEET!$B$7</definedName>
    <definedName name="showsheetflag_dAName">dSHEET!$B$9</definedName>
    <definedName name="showsheetflag_DATA">dSHEET!$B$6</definedName>
    <definedName name="showsheetflag_dSHEET">dSHEET!$B$5</definedName>
    <definedName name="showsheetflag_dSTART">dSHEET!$B$4</definedName>
    <definedName name="showsheetflag_NoObject">dSHEET!$B$36</definedName>
    <definedName name="showsheetflag_リスト">dSHEET!$B$30</definedName>
    <definedName name="showsheetflag_委任状">dSHEET!$B$16</definedName>
    <definedName name="showsheetflag_記載事項変更届">dSHEET!$B$21</definedName>
    <definedName name="showsheetflag_計画廃止届">dSHEET!$B$20</definedName>
    <definedName name="showsheetflag_軽微な変更説明書">dSHEET!$B$22</definedName>
    <definedName name="showsheetflag_建築工事届">dSHEET!$B$15</definedName>
    <definedName name="showsheetflag_建築工事届_主要用途">dSHEET!$B$32</definedName>
    <definedName name="showsheetflag_建築主別紙">dSHEET!$B$27</definedName>
    <definedName name="showsheetflag_工事監理計画届">dSHEET!$B$18</definedName>
    <definedName name="showsheetflag_項目リスト">dSHEET!$B$8</definedName>
    <definedName name="showsheetflag_取下げ届_仮使用">dSHEET!$B$26</definedName>
    <definedName name="showsheetflag_取下げ届_確認">dSHEET!$B$23</definedName>
    <definedName name="showsheetflag_取下げ届_完了">dSHEET!$B$25</definedName>
    <definedName name="showsheetflag_取下げ届_中間">dSHEET!$B$24</definedName>
    <definedName name="showsheetflag_浄化槽概要書・通知書_静岡県">dSHEET!$B$19</definedName>
    <definedName name="showsheetflag_説明">dSHEET!$B$12</definedName>
    <definedName name="showsheetflag_第四面">dSHEET!#REF!</definedName>
    <definedName name="showsheetflag_届出者別紙">dSHEET!$B$28</definedName>
    <definedName name="showsheetflag_様式未設定">dSHEET!$B$29</definedName>
    <definedName name="showsheetflag_用途の区分">dSHEET!$B$31</definedName>
    <definedName name="showsheetflag_連絡担当者票">dSHEET!$B$17</definedName>
    <definedName name="wsjob__address">DATA!$D$83</definedName>
    <definedName name="wsjob_BUILD__address">DATA!$D$84</definedName>
    <definedName name="wsjob_BUILD_ADDRESS">DATA!$D$86</definedName>
    <definedName name="wsjob_BUILD_KEN">DATA!$D$85</definedName>
    <definedName name="wsjob_JOB_KIND">DATA!$D$17</definedName>
    <definedName name="wsjob_JOB_SET_KIND">DATA!$D$12</definedName>
    <definedName name="wsjob_TARGET_KIND">DATA!$D$13</definedName>
    <definedName name="wsjob_TARGET_KIND__label">DATA!$D$11</definedName>
    <definedName name="wskakunin__bouka">DATA!$D$930</definedName>
    <definedName name="wskakunin__kouji">DATA!$D$979</definedName>
    <definedName name="wskakunin__kuiki">DATA!$D$921</definedName>
    <definedName name="wskakunin__tosi_kuiki">DATA!$D$924</definedName>
    <definedName name="wskakunin_20kouzou101_KOUZOUSEKKEI_KOUFU_NO">DATA!$D$499</definedName>
    <definedName name="wskakunin_20kouzou101_NAME">DATA!$D$498</definedName>
    <definedName name="wskakunin_20kouzou102_KOUZOUSEKKEI_KOUFU_NO">DATA!$D$501</definedName>
    <definedName name="wskakunin_20kouzou102_NAME">DATA!$D$500</definedName>
    <definedName name="wskakunin_20kouzou103_KOUZOUSEKKEI_KOUFU_NO">DATA!$D$503</definedName>
    <definedName name="wskakunin_20kouzou103_NAME">DATA!$D$502</definedName>
    <definedName name="wskakunin_20kouzou104_KOUZOUSEKKEI_KOUFU_NO">DATA!$D$505</definedName>
    <definedName name="wskakunin_20kouzou104_NAME">DATA!$D$504</definedName>
    <definedName name="wskakunin_20kouzou105_KOUZOUSEKKEI_KOUFU_NO">DATA!$D$507</definedName>
    <definedName name="wskakunin_20kouzou105_NAME">DATA!$D$506</definedName>
    <definedName name="wskakunin_20kouzou301_KOUZOUSEKKEI_KOUFU_NO">DATA!$D$511</definedName>
    <definedName name="wskakunin_20kouzou301_NAME">DATA!$D$510</definedName>
    <definedName name="wskakunin_20kouzou302_KOUZOUSEKKEI_KOUFU_NO">DATA!$D$513</definedName>
    <definedName name="wskakunin_20kouzou302_NAME">DATA!$D$512</definedName>
    <definedName name="wskakunin_20kouzou303_KOUZOUSEKKEI_KOUFU_NO">DATA!$D$515</definedName>
    <definedName name="wskakunin_20kouzou303_NAME">DATA!$D$514</definedName>
    <definedName name="wskakunin_20kouzou304_KOUZOUSEKKEI_KOUFU_NO">DATA!$D$517</definedName>
    <definedName name="wskakunin_20kouzou304_NAME">DATA!$D$516</definedName>
    <definedName name="wskakunin_20kouzou305_KOUZOUSEKKEI_KOUFU_NO">DATA!$D$519</definedName>
    <definedName name="wskakunin_20kouzou305_NAME">DATA!$D$518</definedName>
    <definedName name="wskakunin_20setubi101_NAME">DATA!$D$522</definedName>
    <definedName name="wskakunin_20setubi101_SETUBISEKKEI_KOUFU_NO">DATA!$D$523</definedName>
    <definedName name="wskakunin_20setubi102_NAME">DATA!$D$524</definedName>
    <definedName name="wskakunin_20setubi102_SETUBISEKKEI_KOUFU_NO">DATA!$D$525</definedName>
    <definedName name="wskakunin_20setubi103_NAME">DATA!$D$526</definedName>
    <definedName name="wskakunin_20setubi103_SETUBISEKKEI_KOUFU_NO">DATA!$D$527</definedName>
    <definedName name="wskakunin_20setubi104_NAME">DATA!$D$528</definedName>
    <definedName name="wskakunin_20setubi104_SETUBISEKKEI_KOUFU_NO">DATA!$D$529</definedName>
    <definedName name="wskakunin_20setubi105_NAME">DATA!$D$530</definedName>
    <definedName name="wskakunin_20setubi105_SETUBISEKKEI_KOUFU_NO">DATA!$D$531</definedName>
    <definedName name="wskakunin_20setubi301_NAME">DATA!$D$534</definedName>
    <definedName name="wskakunin_20setubi301_SETUBISEKKEI_KOUFU_NO">DATA!$D$535</definedName>
    <definedName name="wskakunin_20setubi302_NAME">DATA!$D$536</definedName>
    <definedName name="wskakunin_20setubi302_SETUBISEKKEI_KOUFU_NO">DATA!$D$537</definedName>
    <definedName name="wskakunin_20setubi303_NAME">DATA!$D$538</definedName>
    <definedName name="wskakunin_20setubi303_SETUBISEKKEI_KOUFU_NO">DATA!$D$539</definedName>
    <definedName name="wskakunin_20setubi304_NAME">DATA!$D$540</definedName>
    <definedName name="wskakunin_20setubi304_SETUBISEKKEI_KOUFU_NO">DATA!$D$541</definedName>
    <definedName name="wskakunin_20setubi305_NAME">DATA!$D$542</definedName>
    <definedName name="wskakunin_20setubi305_SETUBISEKKEI_KOUFU_NO">DATA!$D$543</definedName>
    <definedName name="wskakunin_APPLICANT_NAME">DATA!$D$68</definedName>
    <definedName name="wskakunin_BOUKA_22JYO">DATA!$D$934</definedName>
    <definedName name="wskakunin_BOUKA_BOUKA">DATA!$D$931</definedName>
    <definedName name="wskakunin_BOUKA_JYUN_BOUKA">DATA!$D$932</definedName>
    <definedName name="wskakunin_BOUKA_NASI">DATA!$D$933</definedName>
    <definedName name="wskakunin_BOUKA_SETUBI_FLAG">DATA!$D$1177</definedName>
    <definedName name="wskakunin_BUILD__address">DATA!$D$910</definedName>
    <definedName name="wskakunin_BUILD_ADDRESS">DATA!$D$912</definedName>
    <definedName name="wskakunin_BUILD_JYUKYO__address">DATA!$D$915</definedName>
    <definedName name="wskakunin_BUILD_JYUKYO_ADDRESS">DATA!$D$917</definedName>
    <definedName name="wskakunin_BUILD_JYUKYO_KEN__ken">DATA!$D$916</definedName>
    <definedName name="wskakunin_BUILD_KEN__ken">DATA!$D$911</definedName>
    <definedName name="wskakunin_BUILD_NAME">DATA!$D$847</definedName>
    <definedName name="wskakunin_BUILD_NAME_KANA">DATA!$D$848</definedName>
    <definedName name="wskakunin_BUILD_SHINSEI_COUNT">DATA!$D$1092</definedName>
    <definedName name="wskakunin_BUILD_SONOTA_COUNT">DATA!$D$1093</definedName>
    <definedName name="wskakunin_dairi1__address">DATA!$D$215</definedName>
    <definedName name="wskakunin_dairi1__sikaku">DATA!$D$203</definedName>
    <definedName name="wskakunin_dairi1_FAX">DATA!$D$217</definedName>
    <definedName name="wskakunin_dairi1_JIMU__sikaku">DATA!$D$209</definedName>
    <definedName name="wskakunin_dairi1_JIMU_NAME">DATA!$D$213</definedName>
    <definedName name="wskakunin_dairi1_JIMU_NO">DATA!$D$212</definedName>
    <definedName name="wskakunin_dairi1_JIMU_SIKAKU__label">DATA!$D$210</definedName>
    <definedName name="wskakunin_dairi1_JIMU_TOUROKU_KIKAN__label">DATA!$D$211</definedName>
    <definedName name="wskakunin_dairi1_KENTIKUSI_NO">DATA!$D$206</definedName>
    <definedName name="wskakunin_dairi1_NAME">DATA!$D$207</definedName>
    <definedName name="wskakunin_dairi1_NAME_KANA">DATA!$D$208</definedName>
    <definedName name="wskakunin_dairi1_SIKAKU__label">DATA!$D$204</definedName>
    <definedName name="wskakunin_dairi1_TEL">DATA!$D$216</definedName>
    <definedName name="wskakunin_dairi1_TOUROKU_KIKAN__label">DATA!$D$205</definedName>
    <definedName name="wskakunin_dairi1_ZIP">DATA!$D$214</definedName>
    <definedName name="wskakunin_dairi2__address">DATA!$D$233</definedName>
    <definedName name="wskakunin_dairi2__sikaku">DATA!$D$221</definedName>
    <definedName name="wskakunin_dairi2_FAX">DATA!$D$235</definedName>
    <definedName name="wskakunin_dairi2_JIMU__sikaku">DATA!$D$227</definedName>
    <definedName name="wskakunin_dairi2_JIMU_NAME">DATA!$D$231</definedName>
    <definedName name="wskakunin_dairi2_JIMU_NO">DATA!$D$230</definedName>
    <definedName name="wskakunin_dairi2_JIMU_SIKAKU__label">DATA!$D$228</definedName>
    <definedName name="wskakunin_dairi2_JIMU_TOUROKU_KIKAN__label">DATA!$D$229</definedName>
    <definedName name="wskakunin_dairi2_KENTIKUSI_NO">DATA!$D$224</definedName>
    <definedName name="wskakunin_dairi2_NAME">DATA!$D$225</definedName>
    <definedName name="wskakunin_dairi2_NAME_KANA">DATA!$D$226</definedName>
    <definedName name="wskakunin_dairi2_SIKAKU__label">DATA!$D$222</definedName>
    <definedName name="wskakunin_dairi2_TEL">DATA!$D$234</definedName>
    <definedName name="wskakunin_dairi2_TOUROKU_KIKAN__label">DATA!$D$223</definedName>
    <definedName name="wskakunin_dairi2_ZIP">DATA!$D$232</definedName>
    <definedName name="wskakunin_dairi3__address">DATA!$D$251</definedName>
    <definedName name="wskakunin_dairi3__sikaku">DATA!$D$239</definedName>
    <definedName name="wskakunin_dairi3_FAX">DATA!$D$253</definedName>
    <definedName name="wskakunin_dairi3_JIMU__sikaku">DATA!$D$245</definedName>
    <definedName name="wskakunin_dairi3_JIMU_NAME">DATA!$D$249</definedName>
    <definedName name="wskakunin_dairi3_JIMU_NO">DATA!$D$248</definedName>
    <definedName name="wskakunin_dairi3_JIMU_SIKAKU__label">DATA!$D$246</definedName>
    <definedName name="wskakunin_dairi3_JIMU_TOUROKU_KIKAN__label">DATA!$D$247</definedName>
    <definedName name="wskakunin_dairi3_KENTIKUSI_NO">DATA!$D$242</definedName>
    <definedName name="wskakunin_dairi3_NAME">DATA!$D$243</definedName>
    <definedName name="wskakunin_dairi3_NAME_KANA">DATA!$D$244</definedName>
    <definedName name="wskakunin_dairi3_SIKAKU__label">DATA!$D$240</definedName>
    <definedName name="wskakunin_dairi3_TEL">DATA!$D$252</definedName>
    <definedName name="wskakunin_dairi3_TOUROKU_KIKAN__label">DATA!$D$241</definedName>
    <definedName name="wskakunin_dairi3_ZIP">DATA!$D$250</definedName>
    <definedName name="wskakunin_dairi4__address">DATA!$D$269</definedName>
    <definedName name="wskakunin_dairi4__sikaku">DATA!$D$257</definedName>
    <definedName name="wskakunin_dairi4_FAX">DATA!$D$271</definedName>
    <definedName name="wskakunin_dairi4_JIMU__sikaku">DATA!$D$263</definedName>
    <definedName name="wskakunin_dairi4_JIMU_NAME">DATA!$D$267</definedName>
    <definedName name="wskakunin_dairi4_JIMU_NO">DATA!$D$266</definedName>
    <definedName name="wskakunin_dairi4_JIMU_SIKAKU__label">DATA!$D$264</definedName>
    <definedName name="wskakunin_dairi4_JIMU_TOUROKU_KIKAN__label">DATA!$D$265</definedName>
    <definedName name="wskakunin_dairi4_KENTIKUSI_NO">DATA!$D$260</definedName>
    <definedName name="wskakunin_dairi4_NAME">DATA!$D$261</definedName>
    <definedName name="wskakunin_dairi4_NAME_KANA">DATA!$D$262</definedName>
    <definedName name="wskakunin_dairi4_SIKAKU__label">DATA!$D$258</definedName>
    <definedName name="wskakunin_dairi4_TEL">DATA!$D$270</definedName>
    <definedName name="wskakunin_dairi4_TOUROKU_KIKAN__label">DATA!$D$259</definedName>
    <definedName name="wskakunin_dairi4_ZIP">DATA!$D$268</definedName>
    <definedName name="wskakunin_dairi5__address">DATA!$D$287</definedName>
    <definedName name="wskakunin_dairi5__sikaku">DATA!$D$275</definedName>
    <definedName name="wskakunin_dairi5_FAX">DATA!$D$289</definedName>
    <definedName name="wskakunin_dairi5_JIMU__sikaku">DATA!$D$281</definedName>
    <definedName name="wskakunin_dairi5_JIMU_NAME">DATA!$D$285</definedName>
    <definedName name="wskakunin_dairi5_JIMU_NO">DATA!$D$284</definedName>
    <definedName name="wskakunin_dairi5_JIMU_SIKAKU__label">DATA!$D$282</definedName>
    <definedName name="wskakunin_dairi5_JIMU_TOUROKU_KIKAN__label">DATA!$D$283</definedName>
    <definedName name="wskakunin_dairi5_KENTIKUSI_NO">DATA!$D$278</definedName>
    <definedName name="wskakunin_dairi5_NAME">DATA!$D$279</definedName>
    <definedName name="wskakunin_dairi5_NAME_KANA">DATA!$D$280</definedName>
    <definedName name="wskakunin_dairi5_SIKAKU__label">DATA!$D$276</definedName>
    <definedName name="wskakunin_dairi5_TEL">DATA!$D$288</definedName>
    <definedName name="wskakunin_dairi5_TOUROKU_KIKAN__label">DATA!$D$277</definedName>
    <definedName name="wskakunin_dairi5_ZIP">DATA!$D$286</definedName>
    <definedName name="wskakunin_DOURO_FUKUIN">DATA!$D$939</definedName>
    <definedName name="wskakunin_DOURO_NAGASA">DATA!$D$940</definedName>
    <definedName name="wskakunin_ecotekihan01_FUYOU_CAUSE">DATA!$D$877</definedName>
    <definedName name="wskakunin_ecotekihan01_TEKIHAN_KIKAN_ADDRESS">DATA!$D$873</definedName>
    <definedName name="wskakunin_ecotekihan01_TEKIHAN_KIKAN_KEN__ken">DATA!$D$872</definedName>
    <definedName name="wskakunin_ecotekihan01_TEKIHAN_KIKAN_NAME">DATA!$D$871</definedName>
    <definedName name="wskakunin_ecotekihan01_TEKIHAN_STATE">DATA!$D$867</definedName>
    <definedName name="wskakunin_gaiyou1_EV_KIND">DATA!$D$1009</definedName>
    <definedName name="wskakunin_gaiyou1_KOUJI_KAITIKU">DATA!$D$996</definedName>
    <definedName name="wskakunin_gaiyou1_KOUJI_SINTIKU">DATA!$D$994</definedName>
    <definedName name="wskakunin_gaiyou1_KOUJI_SONOTA">DATA!$D$997</definedName>
    <definedName name="wskakunin_gaiyou1_KOUJI_SONOTA_TEXT">DATA!$D$998</definedName>
    <definedName name="wskakunin_gaiyou1_KOUJI_ZOUTIKU">DATA!$D$995</definedName>
    <definedName name="wskakunin_gaiyou1_KOUZOU">DATA!$D$993</definedName>
    <definedName name="wskakunin_gaiyou1_NINSYOU_NO">DATA!$D$1015</definedName>
    <definedName name="wskakunin_gaiyou1_NO">DATA!$D$1008</definedName>
    <definedName name="wskakunin_gaiyou1_SEKISAI">DATA!$D$1011</definedName>
    <definedName name="wskakunin_gaiyou1_SONOTA">DATA!$D$1014</definedName>
    <definedName name="wskakunin_gaiyou1_SONOTA_and_NINSYOU_NO">DATA!$D$1016</definedName>
    <definedName name="wskakunin_gaiyou1_SPEED">DATA!$D$1013</definedName>
    <definedName name="wskakunin_gaiyou1_TAKASA">DATA!$D$992</definedName>
    <definedName name="wskakunin_gaiyou1_TEIIN">DATA!$D$1012</definedName>
    <definedName name="wskakunin_gaiyou1_TIKUZOU_MENSEKI_IGAI">DATA!$D$1001</definedName>
    <definedName name="wskakunin_gaiyou1_TIKUZOU_MENSEKI_SHINSEI">DATA!$D$1000</definedName>
    <definedName name="wskakunin_gaiyou1_TIKUZOU_MENSEKI_TOTAL">DATA!$D$1002</definedName>
    <definedName name="wskakunin_gaiyou1_WORK_COUNT_IGAI">DATA!$D$1004</definedName>
    <definedName name="wskakunin_gaiyou1_WORK_COUNT_SHINSEI">DATA!$D$1003</definedName>
    <definedName name="wskakunin_gaiyou1_WORK_COUNT_TOTAL">DATA!$D$1005</definedName>
    <definedName name="wskakunin_gaiyou1_WORK_SYURUI">DATA!$D$991</definedName>
    <definedName name="wskakunin_gaiyou1_WORK_SYURUI_CODE">DATA!$D$990</definedName>
    <definedName name="wskakunin_gaiyou1_YOUTO">DATA!$D$1010</definedName>
    <definedName name="wskakunin_iken1__address">DATA!$D$550</definedName>
    <definedName name="wskakunin_iken1_DOC">DATA!$D$553</definedName>
    <definedName name="wskakunin_iken1_IKEN_NO">DATA!$D$552</definedName>
    <definedName name="wskakunin_iken1_JIMU_NAME">DATA!$D$548</definedName>
    <definedName name="wskakunin_iken1_NAME">DATA!$D$547</definedName>
    <definedName name="wskakunin_iken1_TEL">DATA!$D$551</definedName>
    <definedName name="wskakunin_iken1_ZIP">DATA!$D$549</definedName>
    <definedName name="wskakunin_iken2__address">DATA!$D$559</definedName>
    <definedName name="wskakunin_iken2_DOC">DATA!$D$562</definedName>
    <definedName name="wskakunin_iken2_IKEN_NO">DATA!$D$561</definedName>
    <definedName name="wskakunin_iken2_JIMU_NAME">DATA!$D$557</definedName>
    <definedName name="wskakunin_iken2_NAME">DATA!$D$556</definedName>
    <definedName name="wskakunin_iken2_TEL">DATA!$D$560</definedName>
    <definedName name="wskakunin_iken2_ZIP">DATA!$D$558</definedName>
    <definedName name="wskakunin_iken3__address">DATA!$D$568</definedName>
    <definedName name="wskakunin_iken3_DOC">DATA!$D$571</definedName>
    <definedName name="wskakunin_iken3_IKEN_NO">DATA!$D$570</definedName>
    <definedName name="wskakunin_iken3_JIMU_NAME">DATA!$D$566</definedName>
    <definedName name="wskakunin_iken3_NAME">DATA!$D$565</definedName>
    <definedName name="wskakunin_iken3_TEL">DATA!$D$569</definedName>
    <definedName name="wskakunin_iken3_ZIP">DATA!$D$567</definedName>
    <definedName name="wskakunin_iken4__address">DATA!$D$577</definedName>
    <definedName name="wskakunin_iken4_DOC">DATA!$D$580</definedName>
    <definedName name="wskakunin_iken4_IKEN_NO">DATA!$D$579</definedName>
    <definedName name="wskakunin_iken4_JIMU_NAME">DATA!$D$575</definedName>
    <definedName name="wskakunin_iken4_NAME">DATA!$D$574</definedName>
    <definedName name="wskakunin_iken4_TEL">DATA!$D$578</definedName>
    <definedName name="wskakunin_iken4_ZIP">DATA!$D$576</definedName>
    <definedName name="wskakunin_iken5__address">DATA!$D$585</definedName>
    <definedName name="wskakunin_iken5_DOC">DATA!$D$588</definedName>
    <definedName name="wskakunin_iken5_IKEN_NO">DATA!$D$587</definedName>
    <definedName name="wskakunin_iken5_JIMU_NAME">DATA!$D$583</definedName>
    <definedName name="wskakunin_iken5_NAME">DATA!$D$582</definedName>
    <definedName name="wskakunin_iken5_TEL">DATA!$D$586</definedName>
    <definedName name="wskakunin_iken5_ZIP">DATA!$D$584</definedName>
    <definedName name="wskakunin_KAISU_TIJYOU_SHINSEI">DATA!$D$1100</definedName>
    <definedName name="wskakunin_KAISU_TIJYOU_SONOTA">DATA!$D$1101</definedName>
    <definedName name="wskakunin_KAISU_TIKA_SHINSEI__zero">DATA!$D$1103</definedName>
    <definedName name="wskakunin_KAISU_TIKA_SONOTA">DATA!$D$1104</definedName>
    <definedName name="wskakunin_kanri1__address">DATA!$D$603</definedName>
    <definedName name="wskakunin_kanri1__sikaku">DATA!$D$591</definedName>
    <definedName name="wskakunin_kanri1_DOC">DATA!$D$605</definedName>
    <definedName name="wskakunin_kanri1_JIMU__sikaku">DATA!$D$596</definedName>
    <definedName name="wskakunin_kanri1_JIMU_NAME">DATA!$D$600</definedName>
    <definedName name="wskakunin_kanri1_JIMU_NO">DATA!$D$599</definedName>
    <definedName name="wskakunin_kanri1_JIMU_SIKAKU__label">DATA!$D$597</definedName>
    <definedName name="wskakunin_kanri1_JIMU_TOUROKU_KIKAN__label">DATA!$D$598</definedName>
    <definedName name="wskakunin_kanri1_KENTIKUSI_NO">DATA!$D$594</definedName>
    <definedName name="wskakunin_kanri1_NAME">DATA!$D$595</definedName>
    <definedName name="wskakunin_kanri1_SIKAKU__label">DATA!$D$592</definedName>
    <definedName name="wskakunin_kanri1_TEL">DATA!$D$604</definedName>
    <definedName name="wskakunin_kanri1_TOUROKU_KIKAN__label">DATA!$D$593</definedName>
    <definedName name="wskakunin_kanri1_ZIP">DATA!$D$601</definedName>
    <definedName name="wskakunin_kanri10__address">DATA!$D$747</definedName>
    <definedName name="wskakunin_kanri10__sikaku">DATA!$D$736</definedName>
    <definedName name="wskakunin_kanri10_DOC">DATA!$D$749</definedName>
    <definedName name="wskakunin_kanri10_JIMU__sikaku">DATA!$D$741</definedName>
    <definedName name="wskakunin_kanri10_JIMU_NAME">DATA!$D$745</definedName>
    <definedName name="wskakunin_kanri10_JIMU_NO">DATA!$D$744</definedName>
    <definedName name="wskakunin_kanri10_JIMU_SIKAKU__label">DATA!$D$742</definedName>
    <definedName name="wskakunin_kanri10_JIMU_TOUROKU_KIKAN__label">DATA!$D$743</definedName>
    <definedName name="wskakunin_kanri10_KENTIKUSI_NO">DATA!$D$739</definedName>
    <definedName name="wskakunin_kanri10_NAME">DATA!$D$740</definedName>
    <definedName name="wskakunin_kanri10_SIKAKU__label">DATA!$D$737</definedName>
    <definedName name="wskakunin_kanri10_TEL">DATA!$D$748</definedName>
    <definedName name="wskakunin_kanri10_TOUROKU_KIKAN__label">DATA!$D$738</definedName>
    <definedName name="wskakunin_kanri10_ZIP">DATA!$D$746</definedName>
    <definedName name="wskakunin_kanri11__address">DATA!$D$763</definedName>
    <definedName name="wskakunin_kanri11__sikaku">DATA!$D$752</definedName>
    <definedName name="wskakunin_kanri11_DOC">DATA!$D$765</definedName>
    <definedName name="wskakunin_kanri11_JIMU__sikaku">DATA!$D$757</definedName>
    <definedName name="wskakunin_kanri11_JIMU_NAME">DATA!$D$761</definedName>
    <definedName name="wskakunin_kanri11_JIMU_NO">DATA!$D$760</definedName>
    <definedName name="wskakunin_kanri11_JIMU_SIKAKU__label">DATA!$D$758</definedName>
    <definedName name="wskakunin_kanri11_JIMU_TOUROKU_KIKAN__label">DATA!$D$759</definedName>
    <definedName name="wskakunin_kanri11_KENTIKUSI_NO">DATA!$D$755</definedName>
    <definedName name="wskakunin_kanri11_NAME">DATA!$D$756</definedName>
    <definedName name="wskakunin_kanri11_SIKAKU__label">DATA!$D$753</definedName>
    <definedName name="wskakunin_kanri11_TEL">DATA!$D$764</definedName>
    <definedName name="wskakunin_kanri11_TOUROKU_KIKAN__label">DATA!$D$754</definedName>
    <definedName name="wskakunin_kanri11_ZIP">DATA!$D$762</definedName>
    <definedName name="wskakunin_kanri12__address">DATA!$D$779</definedName>
    <definedName name="wskakunin_kanri12__sikaku">DATA!$D$768</definedName>
    <definedName name="wskakunin_kanri12_DOC">DATA!$D$781</definedName>
    <definedName name="wskakunin_kanri12_JIMU__sikaku">DATA!$D$773</definedName>
    <definedName name="wskakunin_kanri12_JIMU_NAME">DATA!$D$777</definedName>
    <definedName name="wskakunin_kanri12_JIMU_NO">DATA!$D$776</definedName>
    <definedName name="wskakunin_kanri12_JIMU_SIKAKU__label">DATA!$D$774</definedName>
    <definedName name="wskakunin_kanri12_JIMU_TOUROKU_KIKAN__label">DATA!$D$775</definedName>
    <definedName name="wskakunin_kanri12_KENTIKUSI_NO">DATA!$D$771</definedName>
    <definedName name="wskakunin_kanri12_NAME">DATA!$D$772</definedName>
    <definedName name="wskakunin_kanri12_SIKAKU__label">DATA!$D$769</definedName>
    <definedName name="wskakunin_kanri12_TEL">DATA!$D$780</definedName>
    <definedName name="wskakunin_kanri12_TOUROKU_KIKAN__label">DATA!$D$770</definedName>
    <definedName name="wskakunin_kanri12_ZIP">DATA!$D$778</definedName>
    <definedName name="wskakunin_kanri2__address">DATA!$D$619</definedName>
    <definedName name="wskakunin_kanri2__sikaku">DATA!$D$608</definedName>
    <definedName name="wskakunin_kanri2_DOC">DATA!$D$621</definedName>
    <definedName name="wskakunin_kanri2_JIMU__sikaku">DATA!$D$613</definedName>
    <definedName name="wskakunin_kanri2_JIMU_NAME">DATA!$D$617</definedName>
    <definedName name="wskakunin_kanri2_JIMU_NO">DATA!$D$616</definedName>
    <definedName name="wskakunin_kanri2_JIMU_SIKAKU__label">DATA!$D$614</definedName>
    <definedName name="wskakunin_kanri2_JIMU_TOUROKU_KIKAN__label">DATA!$D$615</definedName>
    <definedName name="wskakunin_kanri2_KENTIKUSI_NO">DATA!$D$611</definedName>
    <definedName name="wskakunin_kanri2_NAME">DATA!$D$612</definedName>
    <definedName name="wskakunin_kanri2_SIKAKU__label">DATA!$D$609</definedName>
    <definedName name="wskakunin_kanri2_TEL">DATA!$D$620</definedName>
    <definedName name="wskakunin_kanri2_TOUROKU_KIKAN__label">DATA!$D$610</definedName>
    <definedName name="wskakunin_kanri2_ZIP">DATA!$D$618</definedName>
    <definedName name="wskakunin_kanri3__address">DATA!$D$635</definedName>
    <definedName name="wskakunin_kanri3__sikaku">DATA!$D$624</definedName>
    <definedName name="wskakunin_kanri3_DOC">DATA!$D$637</definedName>
    <definedName name="wskakunin_kanri3_JIMU__sikaku">DATA!$D$629</definedName>
    <definedName name="wskakunin_kanri3_JIMU_NAME">DATA!$D$633</definedName>
    <definedName name="wskakunin_kanri3_JIMU_NO">DATA!$D$632</definedName>
    <definedName name="wskakunin_kanri3_JIMU_SIKAKU__label">DATA!$D$630</definedName>
    <definedName name="wskakunin_kanri3_JIMU_TOUROKU_KIKAN__label">DATA!$D$631</definedName>
    <definedName name="wskakunin_kanri3_KENTIKUSI_NO">DATA!$D$627</definedName>
    <definedName name="wskakunin_kanri3_NAME">DATA!$D$628</definedName>
    <definedName name="wskakunin_kanri3_SIKAKU__label">DATA!$D$625</definedName>
    <definedName name="wskakunin_kanri3_TEL">DATA!$D$636</definedName>
    <definedName name="wskakunin_kanri3_TOUROKU_KIKAN__label">DATA!$D$626</definedName>
    <definedName name="wskakunin_kanri3_ZIP">DATA!$D$634</definedName>
    <definedName name="wskakunin_kanri4__address">DATA!$D$651</definedName>
    <definedName name="wskakunin_kanri4__sikaku">DATA!$D$640</definedName>
    <definedName name="wskakunin_kanri4_DOC">DATA!$D$653</definedName>
    <definedName name="wskakunin_kanri4_JIMU__sikaku">DATA!$D$645</definedName>
    <definedName name="wskakunin_kanri4_JIMU_NAME">DATA!$D$649</definedName>
    <definedName name="wskakunin_kanri4_JIMU_NO">DATA!$D$648</definedName>
    <definedName name="wskakunin_kanri4_JIMU_SIKAKU__label">DATA!$D$646</definedName>
    <definedName name="wskakunin_kanri4_JIMU_TOUROKU_KIKAN__label">DATA!$D$647</definedName>
    <definedName name="wskakunin_kanri4_KENTIKUSI_NO">DATA!$D$643</definedName>
    <definedName name="wskakunin_kanri4_NAME">DATA!$D$644</definedName>
    <definedName name="wskakunin_kanri4_SIKAKU__label">DATA!$D$641</definedName>
    <definedName name="wskakunin_kanri4_TEL">DATA!$D$652</definedName>
    <definedName name="wskakunin_kanri4_TOUROKU_KIKAN__label">DATA!$D$642</definedName>
    <definedName name="wskakunin_kanri4_ZIP">DATA!$D$650</definedName>
    <definedName name="wskakunin_kanri5__address">DATA!$D$667</definedName>
    <definedName name="wskakunin_kanri5__sikaku">DATA!$D$656</definedName>
    <definedName name="wskakunin_kanri5_DOC">DATA!$D$669</definedName>
    <definedName name="wskakunin_kanri5_JIMU__sikaku">DATA!$D$661</definedName>
    <definedName name="wskakunin_kanri5_JIMU_NAME">DATA!$D$665</definedName>
    <definedName name="wskakunin_kanri5_JIMU_NO">DATA!$D$664</definedName>
    <definedName name="wskakunin_kanri5_JIMU_SIKAKU__label">DATA!$D$662</definedName>
    <definedName name="wskakunin_kanri5_JIMU_TOUROKU_KIKAN__label">DATA!$D$663</definedName>
    <definedName name="wskakunin_kanri5_KENTIKUSI_NO">DATA!$D$659</definedName>
    <definedName name="wskakunin_kanri5_NAME">DATA!$D$660</definedName>
    <definedName name="wskakunin_kanri5_SIKAKU__label">DATA!$D$657</definedName>
    <definedName name="wskakunin_kanri5_TEL">DATA!$D$668</definedName>
    <definedName name="wskakunin_kanri5_TOUROKU_KIKAN__label">DATA!$D$658</definedName>
    <definedName name="wskakunin_kanri5_ZIP">DATA!$D$666</definedName>
    <definedName name="wskakunin_kanri6__address">DATA!$D$683</definedName>
    <definedName name="wskakunin_kanri6__sikaku">DATA!$D$672</definedName>
    <definedName name="wskakunin_kanri6_DOC">DATA!$D$685</definedName>
    <definedName name="wskakunin_kanri6_JIMU__sikaku">DATA!$D$677</definedName>
    <definedName name="wskakunin_kanri6_JIMU_NAME">DATA!$D$681</definedName>
    <definedName name="wskakunin_kanri6_JIMU_NO">DATA!$D$680</definedName>
    <definedName name="wskakunin_kanri6_JIMU_SIKAKU__label">DATA!$D$678</definedName>
    <definedName name="wskakunin_kanri6_JIMU_TOUROKU_KIKAN__label">DATA!$D$679</definedName>
    <definedName name="wskakunin_kanri6_KENTIKUSI_NO">DATA!$D$675</definedName>
    <definedName name="wskakunin_kanri6_NAME">DATA!$D$676</definedName>
    <definedName name="wskakunin_kanri6_SIKAKU__label">DATA!$D$673</definedName>
    <definedName name="wskakunin_kanri6_TEL">DATA!$D$684</definedName>
    <definedName name="wskakunin_kanri6_TOUROKU_KIKAN__label">DATA!$D$674</definedName>
    <definedName name="wskakunin_kanri6_ZIP">DATA!$D$682</definedName>
    <definedName name="wskakunin_kanri7__address">DATA!$D$699</definedName>
    <definedName name="wskakunin_kanri7__sikaku">DATA!$D$688</definedName>
    <definedName name="wskakunin_kanri7_DOC">DATA!$D$701</definedName>
    <definedName name="wskakunin_kanri7_JIMU__sikaku">DATA!$D$693</definedName>
    <definedName name="wskakunin_kanri7_JIMU_NAME">DATA!$D$697</definedName>
    <definedName name="wskakunin_kanri7_JIMU_NO">DATA!$D$696</definedName>
    <definedName name="wskakunin_kanri7_JIMU_SIKAKU__label">DATA!$D$694</definedName>
    <definedName name="wskakunin_kanri7_JIMU_TOUROKU_KIKAN__label">DATA!$D$695</definedName>
    <definedName name="wskakunin_kanri7_KENTIKUSI_NO">DATA!$D$691</definedName>
    <definedName name="wskakunin_kanri7_NAME">DATA!$D$692</definedName>
    <definedName name="wskakunin_kanri7_SIKAKU__label">DATA!$D$689</definedName>
    <definedName name="wskakunin_kanri7_TEL">DATA!$D$700</definedName>
    <definedName name="wskakunin_kanri7_TOUROKU_KIKAN__label">DATA!$D$690</definedName>
    <definedName name="wskakunin_kanri7_ZIP">DATA!$D$698</definedName>
    <definedName name="wskakunin_kanri8__address">DATA!$D$715</definedName>
    <definedName name="wskakunin_kanri8__sikaku">DATA!$D$704</definedName>
    <definedName name="wskakunin_kanri8_DOC">DATA!$D$717</definedName>
    <definedName name="wskakunin_kanri8_JIMU__sikaku">DATA!$D$709</definedName>
    <definedName name="wskakunin_kanri8_JIMU_NAME">DATA!$D$713</definedName>
    <definedName name="wskakunin_kanri8_JIMU_NO">DATA!$D$712</definedName>
    <definedName name="wskakunin_kanri8_JIMU_SIKAKU__label">DATA!$D$710</definedName>
    <definedName name="wskakunin_kanri8_JIMU_TOUROKU_KIKAN__label">DATA!$D$711</definedName>
    <definedName name="wskakunin_kanri8_KENTIKUSI_NO">DATA!$D$707</definedName>
    <definedName name="wskakunin_kanri8_NAME">DATA!$D$708</definedName>
    <definedName name="wskakunin_kanri8_SIKAKU__label">DATA!$D$705</definedName>
    <definedName name="wskakunin_kanri8_TEL">DATA!$D$716</definedName>
    <definedName name="wskakunin_kanri8_TOUROKU_KIKAN__label">DATA!$D$706</definedName>
    <definedName name="wskakunin_kanri8_ZIP">DATA!$D$714</definedName>
    <definedName name="wskakunin_kanri9__address">DATA!$D$731</definedName>
    <definedName name="wskakunin_kanri9__sikaku">DATA!$D$720</definedName>
    <definedName name="wskakunin_kanri9_DOC">DATA!$D$733</definedName>
    <definedName name="wskakunin_kanri9_JIMU__sikaku">DATA!$D$725</definedName>
    <definedName name="wskakunin_kanri9_JIMU_NAME">DATA!$D$729</definedName>
    <definedName name="wskakunin_kanri9_JIMU_NO">DATA!$D$728</definedName>
    <definedName name="wskakunin_kanri9_JIMU_SIKAKU__label">DATA!$D$726</definedName>
    <definedName name="wskakunin_kanri9_JIMU_TOUROKU_KIKAN__label">DATA!$D$727</definedName>
    <definedName name="wskakunin_kanri9_KENTIKUSI_NO">DATA!$D$723</definedName>
    <definedName name="wskakunin_kanri9_NAME">DATA!$D$724</definedName>
    <definedName name="wskakunin_kanri9_SIKAKU__label">DATA!$D$721</definedName>
    <definedName name="wskakunin_kanri9_TEL">DATA!$D$732</definedName>
    <definedName name="wskakunin_kanri9_TOUROKU_KIKAN__label">DATA!$D$722</definedName>
    <definedName name="wskakunin_kanri9_ZIP">DATA!$D$730</definedName>
    <definedName name="wskakunin_keibi_henkou01_HENKOU_GAIYOU">DATA!$D$1300</definedName>
    <definedName name="wskakunin_keibi_henkou01_HENKOU_SYURUI">DATA!$D$1299</definedName>
    <definedName name="wskakunin_KENPEI_RITU">DATA!$D$1022</definedName>
    <definedName name="wskakunin_KENPEI_RITU_A">DATA!$D$963</definedName>
    <definedName name="wskakunin_KENPEI_RITU_B">DATA!$D$964</definedName>
    <definedName name="wskakunin_KENPEI_RITU_C">DATA!$D$965</definedName>
    <definedName name="wskakunin_KENPEI_RITU_D">DATA!$D$966</definedName>
    <definedName name="wskakunin_KENSA_YUKA_MENSEKI">DATA!$D$1208</definedName>
    <definedName name="wskakunin_KENTIKU_MENSEKI_IGAI">DATA!$D$1020</definedName>
    <definedName name="wskakunin_KENTIKU_MENSEKI_SHINSEI">DATA!$D$1019</definedName>
    <definedName name="wskakunin_KENTIKU_MENSEKI_TOTAL">DATA!$D$1021</definedName>
    <definedName name="wskakunin_KENTIKU_NINSYO_NO">DATA!$D$1196</definedName>
    <definedName name="wskakunin_KIKAN_NAME">DATA!$D$51</definedName>
    <definedName name="wskakunin_KOUJI_DAI_MOYOUGAE">DATA!$D$986</definedName>
    <definedName name="wskakunin_KOUJI_DAI_SYUUZEN">DATA!$D$985</definedName>
    <definedName name="wskakunin_KOUJI_ITEN">DATA!$D$983</definedName>
    <definedName name="wskakunin_KOUJI_KAITIKU">DATA!$D$982</definedName>
    <definedName name="wskakunin_KOUJI_KANRYOU_DATE">DATA!$D$1303</definedName>
    <definedName name="wskakunin_KOUJI_KANRYOU_YOTEI_DATE">DATA!$D$1150</definedName>
    <definedName name="wskakunin_KOUJI_SINTIKU">DATA!$D$980</definedName>
    <definedName name="wskakunin_KOUJI_TYAKUSYU_DATE">DATA!$D$1198</definedName>
    <definedName name="wskakunin_KOUJI_TYAKUSYU_YOTEI_DATE">DATA!$D$1148</definedName>
    <definedName name="wskakunin_KOUJI_YOUTOHENKOU">DATA!$D$984</definedName>
    <definedName name="wskakunin_KOUJI_ZOUTIKU">DATA!$D$981</definedName>
    <definedName name="wskakunin_koutei_ikou01_KOUTEI_DATE">DATA!$D$1271</definedName>
    <definedName name="wskakunin_koutei_ikou01_KOUTEI_KAISUU">DATA!$D$1269</definedName>
    <definedName name="wskakunin_koutei_ikou01_KOUTEI_TEXT">DATA!$D$1270</definedName>
    <definedName name="wskakunin_koutei_ikou02_KOUTEI_DATE">DATA!$D$1276</definedName>
    <definedName name="wskakunin_koutei_ikou02_KOUTEI_KAISUU">DATA!$D$1274</definedName>
    <definedName name="wskakunin_koutei_ikou02_KOUTEI_TEXT">DATA!$D$1275</definedName>
    <definedName name="wskakunin_koutei_izen01_INTER_ISSUE_DATE">DATA!$D$1216</definedName>
    <definedName name="wskakunin_koutei_izen01_INTER_ISSUE_NAME">DATA!$D$1214</definedName>
    <definedName name="wskakunin_koutei_izen01_INTER_ISSUE_NO">DATA!$D$1215</definedName>
    <definedName name="wskakunin_koutei_izen01_KOUTEI_KAISUU">DATA!$D$1212</definedName>
    <definedName name="wskakunin_koutei_izen01_KOUTEI_TEXT">DATA!$D$1213</definedName>
    <definedName name="wskakunin_koutei_izen02_INTER_ISSUE_DATE">DATA!$D$1223</definedName>
    <definedName name="wskakunin_koutei_izen02_INTER_ISSUE_NAME">DATA!$D$1221</definedName>
    <definedName name="wskakunin_koutei_izen02_INTER_ISSUE_NO">DATA!$D$1222</definedName>
    <definedName name="wskakunin_koutei_izen02_KOUTEI_KAISUU">DATA!$D$1219</definedName>
    <definedName name="wskakunin_koutei_izen02_KOUTEI_TEXT">DATA!$D$1220</definedName>
    <definedName name="wskakunin_koutei_izen03_INTER_ISSUE_DATE">DATA!$D$1230</definedName>
    <definedName name="wskakunin_koutei_izen03_INTER_ISSUE_NAME">DATA!$D$1228</definedName>
    <definedName name="wskakunin_koutei_izen03_INTER_ISSUE_NO">DATA!$D$1229</definedName>
    <definedName name="wskakunin_koutei_izen03_KOUTEI_KAISUU">DATA!$D$1226</definedName>
    <definedName name="wskakunin_koutei_izen03_KOUTEI_TEXT">DATA!$D$1227</definedName>
    <definedName name="wskakunin_koutei_izen04_INTER_ISSUE_DATE">DATA!$D$1237</definedName>
    <definedName name="wskakunin_koutei_izen04_INTER_ISSUE_NAME">DATA!$D$1235</definedName>
    <definedName name="wskakunin_koutei_izen04_INTER_ISSUE_NO">DATA!$D$1236</definedName>
    <definedName name="wskakunin_koutei_izen04_KOUTEI_KAISUU">DATA!$D$1233</definedName>
    <definedName name="wskakunin_koutei_izen04_KOUTEI_TEXT">DATA!$D$1234</definedName>
    <definedName name="wskakunin_koutei01_INTER_ISSUE_DATE">DATA!$D$1310</definedName>
    <definedName name="wskakunin_koutei01_INTER_ISSUE_NAME">DATA!$D$1308</definedName>
    <definedName name="wskakunin_koutei01_INTER_ISSUE_NO">DATA!$D$1309</definedName>
    <definedName name="wskakunin_koutei01_KOUTEI_DATE">DATA!$D$1159</definedName>
    <definedName name="wskakunin_koutei01_KOUTEI_KAISUU">DATA!$D$1158</definedName>
    <definedName name="wskakunin_koutei01_KOUTEI_TEXT">DATA!$D$1160</definedName>
    <definedName name="wskakunin_koutei02_INTER_ISSUE_DATE">DATA!$D$1324</definedName>
    <definedName name="wskakunin_koutei02_INTER_ISSUE_NAME">DATA!$D$1322</definedName>
    <definedName name="wskakunin_koutei02_INTER_ISSUE_NO">DATA!$D$1323</definedName>
    <definedName name="wskakunin_koutei02_KOUTEI_DATE">DATA!$D$1164</definedName>
    <definedName name="wskakunin_koutei02_KOUTEI_KAISUU">DATA!$D$1163</definedName>
    <definedName name="wskakunin_koutei02_KOUTEI_TEXT">DATA!$D$1165</definedName>
    <definedName name="wskakunin_koutei03_KOUTEI_DATE">DATA!$D$1169</definedName>
    <definedName name="wskakunin_koutei03_KOUTEI_KAISUU">DATA!$D$1168</definedName>
    <definedName name="wskakunin_koutei03_KOUTEI_TEXT">DATA!$D$1170</definedName>
    <definedName name="wskakunin_koutei04_KOUTEI_DATE">DATA!$D$1174</definedName>
    <definedName name="wskakunin_koutei04_KOUTEI_KAISUU">DATA!$D$1173</definedName>
    <definedName name="wskakunin_koutei04_KOUTEI_TEXT">DATA!$D$1175</definedName>
    <definedName name="wskakunin_KOUZOU1">DATA!$D$1106</definedName>
    <definedName name="wskakunin_KOUZOU2">DATA!$D$1107</definedName>
    <definedName name="wskakunin_KUIKI_HISETTEI">DATA!$D$926</definedName>
    <definedName name="wskakunin_KUIKI_JYUN_TOSHI">DATA!$D$927</definedName>
    <definedName name="wskakunin_KUIKI_KUIKIGAI">DATA!$D$928</definedName>
    <definedName name="wskakunin_KUIKI_SIGAIKA">DATA!$D$923</definedName>
    <definedName name="wskakunin_KUIKI_TOSI">DATA!$D$920</definedName>
    <definedName name="wskakunin_KUIKI_TYOSEI">DATA!$D$925</definedName>
    <definedName name="wskakunin_kyoka01_">DATA!$D$1122</definedName>
    <definedName name="wskakunin_kyoka01_BIKOU">DATA!$D$1127</definedName>
    <definedName name="wskakunin_kyoka01_HOUREI">DATA!$D$1123</definedName>
    <definedName name="wskakunin_kyoka01_JOUKOU">DATA!$D$1124</definedName>
    <definedName name="wskakunin_kyoka01_KYOKA_DATE">DATA!$D$1126</definedName>
    <definedName name="wskakunin_kyoka01_KYOKA_NO">DATA!$D$1125</definedName>
    <definedName name="wskakunin_kyoka02_BIKOU">DATA!$D$1135</definedName>
    <definedName name="wskakunin_kyoka02_HOUREI">DATA!$D$1131</definedName>
    <definedName name="wskakunin_kyoka02_JOUKOU">DATA!$D$1132</definedName>
    <definedName name="wskakunin_kyoka02_KYOKA_DATE">DATA!$D$1134</definedName>
    <definedName name="wskakunin_kyoka02_KYOKA_NO">DATA!$D$1133</definedName>
    <definedName name="wskakunin_kyoka03_BIKOU">DATA!$D$1143</definedName>
    <definedName name="wskakunin_kyoka03_HOUREI">DATA!$D$1139</definedName>
    <definedName name="wskakunin_kyoka03_JOUKOU">DATA!$D$1140</definedName>
    <definedName name="wskakunin_kyoka03_KYOKA_DATE">DATA!$D$1142</definedName>
    <definedName name="wskakunin_kyoka03_KYOKA_NO">DATA!$D$1141</definedName>
    <definedName name="wskakunin_LAST_ISSUE_DATE">DATA!$D$56</definedName>
    <definedName name="wskakunin_LAST_ISSUE_NAME">DATA!$D$57</definedName>
    <definedName name="wskakunin_LAST_ISSUE_NO">DATA!$D$55</definedName>
    <definedName name="wskakunin_LIMIT_KENPEI_RITU">DATA!$D$972</definedName>
    <definedName name="wskakunin_LIMIT_YOUSEKI_RITU">DATA!$D$971</definedName>
    <definedName name="wskakunin_NOBE_MENSEKI">DATA!$D$1086</definedName>
    <definedName name="wskakunin_NOBE_MENSEKI_BITIKUSOUKO_IGAI">DATA!$D$1052</definedName>
    <definedName name="wskakunin_NOBE_MENSEKI_BITIKUSOUKO_SHINSEI">DATA!$D$1051</definedName>
    <definedName name="wskakunin_NOBE_MENSEKI_BITIKUSOUKO_TOTAL">DATA!$D$1053</definedName>
    <definedName name="wskakunin_NOBE_MENSEKI_BUILD_IGAI">DATA!$D$1027</definedName>
    <definedName name="wskakunin_NOBE_MENSEKI_BUILD_SHINSEI">DATA!$D$1026</definedName>
    <definedName name="wskakunin_NOBE_MENSEKI_BUILD_TOTAL">DATA!$D$1028</definedName>
    <definedName name="wskakunin_NOBE_MENSEKI_CHOSUISOU_IGAI">DATA!$D$1067</definedName>
    <definedName name="wskakunin_NOBE_MENSEKI_CHOSUISOU_SHINSEI">DATA!$D$1066</definedName>
    <definedName name="wskakunin_NOBE_MENSEKI_CHOSUISOU_TOTAL">DATA!$D$1068</definedName>
    <definedName name="wskakunin_NOBE_MENSEKI_JIKAHATUDEN_IGAI">DATA!$D$1062</definedName>
    <definedName name="wskakunin_NOBE_MENSEKI_JIKAHATUDEN_SHINSEI">DATA!$D$1061</definedName>
    <definedName name="wskakunin_NOBE_MENSEKI_JIKAHATUDEN_TOTAL">DATA!$D$1063</definedName>
    <definedName name="wskakunin_NOBE_MENSEKI_JYUTAKU_IGAI">DATA!$D$1077</definedName>
    <definedName name="wskakunin_NOBE_MENSEKI_JYUTAKU_SHINSEI">DATA!$D$1076</definedName>
    <definedName name="wskakunin_NOBE_MENSEKI_JYUTAKU_TOTAL">DATA!$D$1078</definedName>
    <definedName name="wskakunin_NOBE_MENSEKI_KYOYOU_IGAI">DATA!$D$1042</definedName>
    <definedName name="wskakunin_NOBE_MENSEKI_KYOYOU_SHINSEI">DATA!$D$1041</definedName>
    <definedName name="wskakunin_NOBE_MENSEKI_KYOYOU_TOTAL">DATA!$D$1043</definedName>
    <definedName name="wskakunin_NOBE_MENSEKI_ROUJIN_IGAI">DATA!$D$1082</definedName>
    <definedName name="wskakunin_NOBE_MENSEKI_ROUJIN_SHINSEI">DATA!$D$1081</definedName>
    <definedName name="wskakunin_NOBE_MENSEKI_ROUJIN_TOTAL">DATA!$D$1083</definedName>
    <definedName name="wskakunin_NOBE_MENSEKI_SYAKO_IGAI">DATA!$D$1047</definedName>
    <definedName name="wskakunin_NOBE_MENSEKI_SYAKO_SHINSEI">DATA!$D$1046</definedName>
    <definedName name="wskakunin_NOBE_MENSEKI_SYAKO_TOTAL">DATA!$D$1048</definedName>
    <definedName name="wskakunin_NOBE_MENSEKI_SYOUKOURO_IGAI">DATA!$D$1037</definedName>
    <definedName name="wskakunin_NOBE_MENSEKI_SYOUKOURO_SHINSEI">DATA!$D$1036</definedName>
    <definedName name="wskakunin_NOBE_MENSEKI_SYOUKOURO_TOTAL">DATA!$D$1038</definedName>
    <definedName name="wskakunin_NOBE_MENSEKI_TAKUHAI_IGAI">DATA!$D$1072</definedName>
    <definedName name="wskakunin_NOBE_MENSEKI_TAKUHAI_SHINSEI">DATA!$D$1071</definedName>
    <definedName name="wskakunin_NOBE_MENSEKI_TAKUHAI_TOTAL">DATA!$D$1073</definedName>
    <definedName name="wskakunin_NOBE_MENSEKI_TIKAI_IGAI">DATA!$D$1032</definedName>
    <definedName name="wskakunin_NOBE_MENSEKI_TIKAI_SHINSEI">DATA!$D$1031</definedName>
    <definedName name="wskakunin_NOBE_MENSEKI_TIKAI_TOTAL">DATA!$D$1033</definedName>
    <definedName name="wskakunin_NOBE_MENSEKI_TIKUDENTI_IGAI">DATA!$D$1057</definedName>
    <definedName name="wskakunin_NOBE_MENSEKI_TIKUDENTI_SHINSEI">DATA!$D$1056</definedName>
    <definedName name="wskakunin_NOBE_MENSEKI_TIKUDENTI_TOTAL">DATA!$D$1058</definedName>
    <definedName name="wskakunin_owner1__address">DATA!$D$99</definedName>
    <definedName name="wskakunin_owner1_JIMU_NAME">DATA!$D$89</definedName>
    <definedName name="wskakunin_owner1_JIMU_NAME_KANA">DATA!$D$90</definedName>
    <definedName name="wskakunin_owner1_NAME">DATA!$D$93</definedName>
    <definedName name="wskakunin_owner1_NAME_KANA">DATA!$D$94</definedName>
    <definedName name="wskakunin_owner1_POST">DATA!$D$91</definedName>
    <definedName name="wskakunin_owner1_POST_KANA">DATA!$D$92</definedName>
    <definedName name="wskakunin_owner1_TEL">DATA!$D$100</definedName>
    <definedName name="wskakunin_owner1_ZIP">DATA!$D$97</definedName>
    <definedName name="wskakunin_owner2__address">DATA!$D$114</definedName>
    <definedName name="wskakunin_owner2_JIMU_NAME">DATA!$D$107</definedName>
    <definedName name="wskakunin_owner2_JIMU_NAME_KANA">DATA!$D$108</definedName>
    <definedName name="wskakunin_owner2_NAME">DATA!$D$111</definedName>
    <definedName name="wskakunin_owner2_NAME_KANA">DATA!$D$112</definedName>
    <definedName name="wskakunin_owner2_POST">DATA!$D$109</definedName>
    <definedName name="wskakunin_owner2_POST_KANA">DATA!$D$110</definedName>
    <definedName name="wskakunin_owner2_TEL">DATA!$D$115</definedName>
    <definedName name="wskakunin_owner2_ZIP">DATA!$D$113</definedName>
    <definedName name="wskakunin_owner3__address">DATA!$D$128</definedName>
    <definedName name="wskakunin_owner3_JIMU_NAME">DATA!$D$121</definedName>
    <definedName name="wskakunin_owner3_JIMU_NAME_KANA">DATA!$D$122</definedName>
    <definedName name="wskakunin_owner3_NAME">DATA!$D$125</definedName>
    <definedName name="wskakunin_owner3_NAME_KANA">DATA!$D$126</definedName>
    <definedName name="wskakunin_owner3_POST">DATA!$D$123</definedName>
    <definedName name="wskakunin_owner3_POST_KANA">DATA!$D$124</definedName>
    <definedName name="wskakunin_owner3_TEL">DATA!$D$129</definedName>
    <definedName name="wskakunin_owner3_ZIP">DATA!$D$127</definedName>
    <definedName name="wskakunin_owner4__address">DATA!$D$141</definedName>
    <definedName name="wskakunin_owner4_JIMU_NAME">DATA!$D$134</definedName>
    <definedName name="wskakunin_owner4_JIMU_NAME_KANA">DATA!$D$135</definedName>
    <definedName name="wskakunin_owner4_NAME">DATA!$D$138</definedName>
    <definedName name="wskakunin_owner4_NAME_KANA">DATA!$D$139</definedName>
    <definedName name="wskakunin_owner4_POST">DATA!$D$136</definedName>
    <definedName name="wskakunin_owner4_POST_KANA">DATA!$D$137</definedName>
    <definedName name="wskakunin_owner4_TEL">DATA!$D$142</definedName>
    <definedName name="wskakunin_owner4_ZIP">DATA!$D$140</definedName>
    <definedName name="wskakunin_owner5__address">DATA!$D$153</definedName>
    <definedName name="wskakunin_owner5_JIMU_NAME">DATA!$D$146</definedName>
    <definedName name="wskakunin_owner5_JIMU_NAME_KANA">DATA!$D$147</definedName>
    <definedName name="wskakunin_owner5_NAME">DATA!$D$150</definedName>
    <definedName name="wskakunin_owner5_NAME_KANA">DATA!$D$151</definedName>
    <definedName name="wskakunin_owner5_POST">DATA!$D$148</definedName>
    <definedName name="wskakunin_owner5_POST_KANA">DATA!$D$149</definedName>
    <definedName name="wskakunin_owner5_TEL">DATA!$D$154</definedName>
    <definedName name="wskakunin_owner5_ZIP">DATA!$D$152</definedName>
    <definedName name="wskakunin_owner6__address">DATA!$D$165</definedName>
    <definedName name="wskakunin_owner6_JIMU_NAME">DATA!$D$158</definedName>
    <definedName name="wskakunin_owner6_JIMU_NAME_KANA">DATA!$D$159</definedName>
    <definedName name="wskakunin_owner6_NAME">DATA!$D$162</definedName>
    <definedName name="wskakunin_owner6_NAME_KANA">DATA!$D$163</definedName>
    <definedName name="wskakunin_owner6_POST">DATA!$D$160</definedName>
    <definedName name="wskakunin_owner6_POST_KANA">DATA!$D$161</definedName>
    <definedName name="wskakunin_owner6_TEL">DATA!$D$166</definedName>
    <definedName name="wskakunin_owner6_ZIP">DATA!$D$164</definedName>
    <definedName name="wskakunin_owner7__address">DATA!$D$177</definedName>
    <definedName name="wskakunin_owner7_JIMU_NAME">DATA!$D$170</definedName>
    <definedName name="wskakunin_owner7_JIMU_NAME_KANA">DATA!$D$171</definedName>
    <definedName name="wskakunin_owner7_NAME">DATA!$D$174</definedName>
    <definedName name="wskakunin_owner7_NAME_KANA">DATA!$D$175</definedName>
    <definedName name="wskakunin_owner7_POST">DATA!$D$172</definedName>
    <definedName name="wskakunin_owner7_POST_KANA">DATA!$D$173</definedName>
    <definedName name="wskakunin_owner7_TEL">DATA!$D$178</definedName>
    <definedName name="wskakunin_owner7_ZIP">DATA!$D$176</definedName>
    <definedName name="wskakunin_owner8__address">DATA!$D$188</definedName>
    <definedName name="wskakunin_owner8_JIMU_NAME">DATA!$D$181</definedName>
    <definedName name="wskakunin_owner8_JIMU_NAME_KANA">DATA!$D$182</definedName>
    <definedName name="wskakunin_owner8_NAME">DATA!$D$185</definedName>
    <definedName name="wskakunin_owner8_NAME_KANA">DATA!$D$186</definedName>
    <definedName name="wskakunin_owner8_POST">DATA!$D$183</definedName>
    <definedName name="wskakunin_owner8_POST_KANA">DATA!$D$184</definedName>
    <definedName name="wskakunin_owner8_TEL">DATA!$D$189</definedName>
    <definedName name="wskakunin_owner8_ZIP">DATA!$D$187</definedName>
    <definedName name="wskakunin_owner9__address">DATA!$D$199</definedName>
    <definedName name="wskakunin_owner9_JIMU_NAME">DATA!$D$192</definedName>
    <definedName name="wskakunin_owner9_JIMU_NAME_KANA">DATA!$D$193</definedName>
    <definedName name="wskakunin_owner9_NAME">DATA!$D$196</definedName>
    <definedName name="wskakunin_owner9_NAME_KANA">DATA!$D$197</definedName>
    <definedName name="wskakunin_owner9_POST">DATA!$D$194</definedName>
    <definedName name="wskakunin_owner9_POST_KANA">DATA!$D$195</definedName>
    <definedName name="wskakunin_owner9_TEL">DATA!$D$200</definedName>
    <definedName name="wskakunin_owner9_ZIP">DATA!$D$198</definedName>
    <definedName name="wskakunin_P1_HENKOU_GAIYOU">DATA!$D$58</definedName>
    <definedName name="wskakunin_P2_BIKOU">DATA!$D$849</definedName>
    <definedName name="wskakunin_P3_BIKOU">DATA!$D$1183</definedName>
    <definedName name="wskakunin_P3_SONOTA">DATA!$D$1181</definedName>
    <definedName name="wskakunin_p4_1__kouji">DATA!$D$890</definedName>
    <definedName name="wskakunin_p4_1_KAISU_TIKAI">DATA!$D$892</definedName>
    <definedName name="wskakunin_p4_1_KAISU_TIKAI_NOZOKU">DATA!$D$891</definedName>
    <definedName name="wskakunin_p4_1_KOUZOU1">DATA!$D$893</definedName>
    <definedName name="wskakunin_p4_1_KOUZOU2">DATA!$D$894</definedName>
    <definedName name="wskakunin_p4_1_TAKASA_KEN_MAX">DATA!$D$896</definedName>
    <definedName name="wskakunin_p4_1_TAKASA_MAX">DATA!$D$895</definedName>
    <definedName name="wskakunin_p4_1_youto1_YOUTO">DATA!$D$881</definedName>
    <definedName name="wskakunin_p4_1_youto1_YOUTO_CODE">DATA!$D$882</definedName>
    <definedName name="wskakunin_p4_1_YUKA_MENSEKI_SHINSEI">DATA!$D$897</definedName>
    <definedName name="wskakunin_p4_2_KAISU_TIKAI">DATA!$D$900</definedName>
    <definedName name="wskakunin_p4_2_KAISU_TIKAI_NOZOKU">DATA!$D$899</definedName>
    <definedName name="wskakunin_p4_2_YUKA_MENSEKI_SHINSEI">DATA!$D$901</definedName>
    <definedName name="wskakunin_p4_3_KAISU_TIKAI">DATA!$D$904</definedName>
    <definedName name="wskakunin_p4_3_KAISU_TIKAI_NOZOKU">DATA!$D$903</definedName>
    <definedName name="wskakunin_p4_3_YUKA_MENSEKI_SHINSEI">DATA!$D$905</definedName>
    <definedName name="wskakunin_PAGE1_ALTERATION_NOTE">DATA!$D$65</definedName>
    <definedName name="wskakunin_sekkei1__address">DATA!$D$305</definedName>
    <definedName name="wskakunin_sekkei1__sikaku">DATA!$D$293</definedName>
    <definedName name="wskakunin_sekkei1_DOC">DATA!$D$307</definedName>
    <definedName name="wskakunin_sekkei1_JIMU__sikaku">DATA!$D$298</definedName>
    <definedName name="wskakunin_sekkei1_JIMU_NAME">DATA!$D$302</definedName>
    <definedName name="wskakunin_sekkei1_JIMU_NO">DATA!$D$301</definedName>
    <definedName name="wskakunin_sekkei1_JIMU_SIKAKU__label">DATA!$D$299</definedName>
    <definedName name="wskakunin_sekkei1_JIMU_TOUROKU_KIKAN__label">DATA!$D$300</definedName>
    <definedName name="wskakunin_sekkei1_KENTIKUSI_NO">DATA!$D$296</definedName>
    <definedName name="wskakunin_sekkei1_NAME">DATA!$D$297</definedName>
    <definedName name="wskakunin_sekkei1_SIKAKU__label">DATA!$D$294</definedName>
    <definedName name="wskakunin_sekkei1_TEL">DATA!$D$306</definedName>
    <definedName name="wskakunin_sekkei1_TOUROKU_KIKAN__label">DATA!$D$295</definedName>
    <definedName name="wskakunin_sekkei1_ZIP">DATA!$D$304</definedName>
    <definedName name="wskakunin_sekkei10__address">DATA!$D$458</definedName>
    <definedName name="wskakunin_sekkei10__sikaku">DATA!$D$446</definedName>
    <definedName name="wskakunin_sekkei10_DOC">DATA!$D$460</definedName>
    <definedName name="wskakunin_sekkei10_JIMU__sikaku">DATA!$D$451</definedName>
    <definedName name="wskakunin_sekkei10_JIMU_NAME">DATA!$D$455</definedName>
    <definedName name="wskakunin_sekkei10_JIMU_NO">DATA!$D$454</definedName>
    <definedName name="wskakunin_sekkei10_JIMU_SIKAKU__label">DATA!$D$452</definedName>
    <definedName name="wskakunin_sekkei10_JIMU_TOUROKU_KIKAN__label">DATA!$D$453</definedName>
    <definedName name="wskakunin_sekkei10_KENTIKUSI_NO">DATA!$D$449</definedName>
    <definedName name="wskakunin_sekkei10_NAME">DATA!$D$450</definedName>
    <definedName name="wskakunin_sekkei10_SIKAKU__label">DATA!$D$447</definedName>
    <definedName name="wskakunin_sekkei10_TEL">DATA!$D$459</definedName>
    <definedName name="wskakunin_sekkei10_TOUROKU_KIKAN__label">DATA!$D$448</definedName>
    <definedName name="wskakunin_sekkei10_ZIP">DATA!$D$457</definedName>
    <definedName name="wskakunin_sekkei11__address">DATA!$D$475</definedName>
    <definedName name="wskakunin_sekkei11__sikaku">DATA!$D$463</definedName>
    <definedName name="wskakunin_sekkei11_DOC">DATA!$D$477</definedName>
    <definedName name="wskakunin_sekkei11_JIMU__sikaku">DATA!$D$468</definedName>
    <definedName name="wskakunin_sekkei11_JIMU_NAME">DATA!$D$472</definedName>
    <definedName name="wskakunin_sekkei11_JIMU_NO">DATA!$D$471</definedName>
    <definedName name="wskakunin_sekkei11_JIMU_SIKAKU__label">DATA!$D$469</definedName>
    <definedName name="wskakunin_sekkei11_JIMU_TOUROKU_KIKAN__label">DATA!$D$470</definedName>
    <definedName name="wskakunin_sekkei11_KENTIKUSI_NO">DATA!$D$466</definedName>
    <definedName name="wskakunin_sekkei11_NAME">DATA!$D$467</definedName>
    <definedName name="wskakunin_sekkei11_SIKAKU__label">DATA!$D$464</definedName>
    <definedName name="wskakunin_sekkei11_TEL">DATA!$D$476</definedName>
    <definedName name="wskakunin_sekkei11_TOUROKU_KIKAN__label">DATA!$D$465</definedName>
    <definedName name="wskakunin_sekkei11_ZIP">DATA!$D$474</definedName>
    <definedName name="wskakunin_sekkei12__address">DATA!$D$492</definedName>
    <definedName name="wskakunin_sekkei12__sikaku">DATA!$D$480</definedName>
    <definedName name="wskakunin_sekkei12_DOC">DATA!$D$494</definedName>
    <definedName name="wskakunin_sekkei12_JIMU__sikaku">DATA!$D$485</definedName>
    <definedName name="wskakunin_sekkei12_JIMU_NAME">DATA!$D$489</definedName>
    <definedName name="wskakunin_sekkei12_JIMU_NO">DATA!$D$488</definedName>
    <definedName name="wskakunin_sekkei12_JIMU_SIKAKU__label">DATA!$D$486</definedName>
    <definedName name="wskakunin_sekkei12_JIMU_TOUROKU_KIKAN__label">DATA!$D$487</definedName>
    <definedName name="wskakunin_sekkei12_KENTIKUSI_NO">DATA!$D$483</definedName>
    <definedName name="wskakunin_sekkei12_NAME">DATA!$D$484</definedName>
    <definedName name="wskakunin_sekkei12_SIKAKU__label">DATA!$D$481</definedName>
    <definedName name="wskakunin_sekkei12_TEL">DATA!$D$493</definedName>
    <definedName name="wskakunin_sekkei12_TOUROKU_KIKAN__label">DATA!$D$482</definedName>
    <definedName name="wskakunin_sekkei12_ZIP">DATA!$D$491</definedName>
    <definedName name="wskakunin_sekkei2__address">DATA!$D$322</definedName>
    <definedName name="wskakunin_sekkei2__sikaku">DATA!$D$310</definedName>
    <definedName name="wskakunin_sekkei2_DOC">DATA!$D$324</definedName>
    <definedName name="wskakunin_sekkei2_JIMU__sikaku">DATA!$D$315</definedName>
    <definedName name="wskakunin_sekkei2_JIMU_NAME">DATA!$D$319</definedName>
    <definedName name="wskakunin_sekkei2_JIMU_NO">DATA!$D$318</definedName>
    <definedName name="wskakunin_sekkei2_JIMU_SIKAKU__label">DATA!$D$316</definedName>
    <definedName name="wskakunin_sekkei2_JIMU_TOUROKU_KIKAN__label">DATA!$D$317</definedName>
    <definedName name="wskakunin_sekkei2_KENTIKUSI_NO">DATA!$D$313</definedName>
    <definedName name="wskakunin_sekkei2_NAME">DATA!$D$314</definedName>
    <definedName name="wskakunin_sekkei2_SIKAKU__label">DATA!$D$311</definedName>
    <definedName name="wskakunin_sekkei2_TEL">DATA!$D$323</definedName>
    <definedName name="wskakunin_sekkei2_TOUROKU_KIKAN__label">DATA!$D$312</definedName>
    <definedName name="wskakunin_sekkei2_ZIP">DATA!$D$321</definedName>
    <definedName name="wskakunin_sekkei3__address">DATA!$D$339</definedName>
    <definedName name="wskakunin_sekkei3__sikaku">DATA!$D$327</definedName>
    <definedName name="wskakunin_sekkei3_DOC">DATA!$D$341</definedName>
    <definedName name="wskakunin_sekkei3_JIMU__sikaku">DATA!$D$332</definedName>
    <definedName name="wskakunin_sekkei3_JIMU_NAME">DATA!$D$336</definedName>
    <definedName name="wskakunin_sekkei3_JIMU_NO">DATA!$D$335</definedName>
    <definedName name="wskakunin_sekkei3_JIMU_SIKAKU__label">DATA!$D$333</definedName>
    <definedName name="wskakunin_sekkei3_JIMU_TOUROKU_KIKAN__label">DATA!$D$334</definedName>
    <definedName name="wskakunin_sekkei3_KENTIKUSI_NO">DATA!$D$330</definedName>
    <definedName name="wskakunin_sekkei3_NAME">DATA!$D$331</definedName>
    <definedName name="wskakunin_sekkei3_SIKAKU__label">DATA!$D$328</definedName>
    <definedName name="wskakunin_sekkei3_TEL">DATA!$D$340</definedName>
    <definedName name="wskakunin_sekkei3_TOUROKU_KIKAN__label">DATA!$D$329</definedName>
    <definedName name="wskakunin_sekkei3_ZIP">DATA!$D$338</definedName>
    <definedName name="wskakunin_sekkei4__address">DATA!$D$356</definedName>
    <definedName name="wskakunin_sekkei4__sikaku">DATA!$D$344</definedName>
    <definedName name="wskakunin_sekkei4_DOC">DATA!$D$358</definedName>
    <definedName name="wskakunin_sekkei4_JIMU__sikaku">DATA!$D$349</definedName>
    <definedName name="wskakunin_sekkei4_JIMU_NAME">DATA!$D$353</definedName>
    <definedName name="wskakunin_sekkei4_JIMU_NO">DATA!$D$352</definedName>
    <definedName name="wskakunin_sekkei4_JIMU_SIKAKU__label">DATA!$D$350</definedName>
    <definedName name="wskakunin_sekkei4_JIMU_TOUROKU_KIKAN__label">DATA!$D$351</definedName>
    <definedName name="wskakunin_sekkei4_KENTIKUSI_NO">DATA!$D$347</definedName>
    <definedName name="wskakunin_sekkei4_NAME">DATA!$D$348</definedName>
    <definedName name="wskakunin_sekkei4_SIKAKU__label">DATA!$D$345</definedName>
    <definedName name="wskakunin_sekkei4_TEL">DATA!$D$357</definedName>
    <definedName name="wskakunin_sekkei4_TOUROKU_KIKAN__label">DATA!$D$346</definedName>
    <definedName name="wskakunin_sekkei4_ZIP">DATA!$D$355</definedName>
    <definedName name="wskakunin_sekkei5__address">DATA!$D$373</definedName>
    <definedName name="wskakunin_sekkei5__sikaku">DATA!$D$361</definedName>
    <definedName name="wskakunin_sekkei5_DOC">DATA!$D$375</definedName>
    <definedName name="wskakunin_sekkei5_JIMU__sikaku">DATA!$D$366</definedName>
    <definedName name="wskakunin_sekkei5_JIMU_NAME">DATA!$D$370</definedName>
    <definedName name="wskakunin_sekkei5_JIMU_NO">DATA!$D$369</definedName>
    <definedName name="wskakunin_sekkei5_JIMU_SIKAKU__label">DATA!$D$367</definedName>
    <definedName name="wskakunin_sekkei5_JIMU_TOUROKU_KIKAN__label">DATA!$D$368</definedName>
    <definedName name="wskakunin_sekkei5_KENTIKUSI_NO">DATA!$D$364</definedName>
    <definedName name="wskakunin_sekkei5_NAME">DATA!$D$365</definedName>
    <definedName name="wskakunin_sekkei5_SIKAKU__label">DATA!$D$362</definedName>
    <definedName name="wskakunin_sekkei5_TEL">DATA!$D$374</definedName>
    <definedName name="wskakunin_sekkei5_TOUROKU_KIKAN__label">DATA!$D$363</definedName>
    <definedName name="wskakunin_sekkei5_ZIP">DATA!$D$372</definedName>
    <definedName name="wskakunin_sekkei6__address">DATA!$D$390</definedName>
    <definedName name="wskakunin_sekkei6__sikaku">DATA!$D$378</definedName>
    <definedName name="wskakunin_sekkei6_DOC">DATA!$D$392</definedName>
    <definedName name="wskakunin_sekkei6_JIMU__sikaku">DATA!$D$383</definedName>
    <definedName name="wskakunin_sekkei6_JIMU_NAME">DATA!$D$387</definedName>
    <definedName name="wskakunin_sekkei6_JIMU_NO">DATA!$D$386</definedName>
    <definedName name="wskakunin_sekkei6_JIMU_SIKAKU__label">DATA!$D$384</definedName>
    <definedName name="wskakunin_sekkei6_JIMU_TOUROKU_KIKAN__label">DATA!$D$385</definedName>
    <definedName name="wskakunin_sekkei6_KENTIKUSI_NO">DATA!$D$381</definedName>
    <definedName name="wskakunin_sekkei6_NAME">DATA!$D$382</definedName>
    <definedName name="wskakunin_sekkei6_SIKAKU__label">DATA!$D$379</definedName>
    <definedName name="wskakunin_sekkei6_TEL">DATA!$D$391</definedName>
    <definedName name="wskakunin_sekkei6_TOUROKU_KIKAN__label">DATA!$D$380</definedName>
    <definedName name="wskakunin_sekkei6_ZIP">DATA!$D$389</definedName>
    <definedName name="wskakunin_sekkei7__address">DATA!$D$407</definedName>
    <definedName name="wskakunin_sekkei7__sikaku">DATA!$D$395</definedName>
    <definedName name="wskakunin_sekkei7_DOC">DATA!$D$409</definedName>
    <definedName name="wskakunin_sekkei7_JIMU__sikaku">DATA!$D$400</definedName>
    <definedName name="wskakunin_sekkei7_JIMU_NAME">DATA!$D$404</definedName>
    <definedName name="wskakunin_sekkei7_JIMU_NO">DATA!$D$403</definedName>
    <definedName name="wskakunin_sekkei7_JIMU_SIKAKU__label">DATA!$D$401</definedName>
    <definedName name="wskakunin_sekkei7_JIMU_TOUROKU_KIKAN__label">DATA!$D$402</definedName>
    <definedName name="wskakunin_sekkei7_KENTIKUSI_NO">DATA!$D$398</definedName>
    <definedName name="wskakunin_sekkei7_NAME">DATA!$D$399</definedName>
    <definedName name="wskakunin_sekkei7_SIKAKU__label">DATA!$D$396</definedName>
    <definedName name="wskakunin_sekkei7_TEL">DATA!$D$408</definedName>
    <definedName name="wskakunin_sekkei7_TOUROKU_KIKAN__label">DATA!$D$397</definedName>
    <definedName name="wskakunin_sekkei7_ZIP">DATA!$D$406</definedName>
    <definedName name="wskakunin_sekkei8__address">DATA!$D$424</definedName>
    <definedName name="wskakunin_sekkei8__sikaku">DATA!$D$412</definedName>
    <definedName name="wskakunin_sekkei8_DOC">DATA!$D$426</definedName>
    <definedName name="wskakunin_sekkei8_JIMU__sikaku">DATA!$D$417</definedName>
    <definedName name="wskakunin_sekkei8_JIMU_NAME">DATA!$D$421</definedName>
    <definedName name="wskakunin_sekkei8_JIMU_NO">DATA!$D$420</definedName>
    <definedName name="wskakunin_sekkei8_JIMU_SIKAKU__label">DATA!$D$418</definedName>
    <definedName name="wskakunin_sekkei8_JIMU_TOUROKU_KIKAN__label">DATA!$D$419</definedName>
    <definedName name="wskakunin_sekkei8_KENTIKUSI_NO">DATA!$D$415</definedName>
    <definedName name="wskakunin_sekkei8_NAME">DATA!$D$416</definedName>
    <definedName name="wskakunin_sekkei8_SIKAKU__label">DATA!$D$413</definedName>
    <definedName name="wskakunin_sekkei8_TEL">DATA!$D$425</definedName>
    <definedName name="wskakunin_sekkei8_TOUROKU_KIKAN__label">DATA!$D$414</definedName>
    <definedName name="wskakunin_sekkei8_ZIP">DATA!$D$423</definedName>
    <definedName name="wskakunin_sekkei9__address">DATA!$D$441</definedName>
    <definedName name="wskakunin_sekkei9__sikaku">DATA!$D$429</definedName>
    <definedName name="wskakunin_sekkei9_DOC">DATA!$D$443</definedName>
    <definedName name="wskakunin_sekkei9_JIMU__sikaku">DATA!$D$434</definedName>
    <definedName name="wskakunin_sekkei9_JIMU_NAME">DATA!$D$438</definedName>
    <definedName name="wskakunin_sekkei9_JIMU_NO">DATA!$D$437</definedName>
    <definedName name="wskakunin_sekkei9_JIMU_SIKAKU__label">DATA!$D$435</definedName>
    <definedName name="wskakunin_sekkei9_JIMU_TOUROKU_KIKAN__label">DATA!$D$436</definedName>
    <definedName name="wskakunin_sekkei9_KENTIKUSI_NO">DATA!$D$432</definedName>
    <definedName name="wskakunin_sekkei9_NAME">DATA!$D$433</definedName>
    <definedName name="wskakunin_sekkei9_SIKAKU__label">DATA!$D$430</definedName>
    <definedName name="wskakunin_sekkei9_TEL">DATA!$D$442</definedName>
    <definedName name="wskakunin_sekkei9_TOUROKU_KIKAN__label">DATA!$D$431</definedName>
    <definedName name="wskakunin_sekkei9_ZIP">DATA!$D$440</definedName>
    <definedName name="wskakunin_sekou1__address">DATA!$D$790</definedName>
    <definedName name="wskakunin_sekou1_JIMU_NAME">DATA!$D$788</definedName>
    <definedName name="wskakunin_sekou1_NAME">DATA!$D$784</definedName>
    <definedName name="wskakunin_sekou1_SEKOU__sikaku">DATA!$D$785</definedName>
    <definedName name="wskakunin_sekou1_SEKOU_NO">DATA!$D$787</definedName>
    <definedName name="wskakunin_sekou1_SEKOU_SIKAKU__label">DATA!$D$786</definedName>
    <definedName name="wskakunin_sekou1_TEL">DATA!$D$791</definedName>
    <definedName name="wskakunin_sekou1_ZIP">DATA!$D$789</definedName>
    <definedName name="wskakunin_sekou2__address">DATA!$D$800</definedName>
    <definedName name="wskakunin_sekou2_JIMU_NAME">DATA!$D$798</definedName>
    <definedName name="wskakunin_sekou2_NAME">DATA!$D$794</definedName>
    <definedName name="wskakunin_sekou2_SEKOU__sikaku">DATA!$D$795</definedName>
    <definedName name="wskakunin_sekou2_SEKOU_NO">DATA!$D$797</definedName>
    <definedName name="wskakunin_sekou2_SEKOU_SIKAKU__label">DATA!$D$796</definedName>
    <definedName name="wskakunin_sekou2_TEL">DATA!$D$801</definedName>
    <definedName name="wskakunin_sekou2_ZIP">DATA!$D$799</definedName>
    <definedName name="wskakunin_sekou3__address">DATA!$D$810</definedName>
    <definedName name="wskakunin_sekou3_JIMU_NAME">DATA!$D$808</definedName>
    <definedName name="wskakunin_sekou3_NAME">DATA!$D$804</definedName>
    <definedName name="wskakunin_sekou3_SEKOU__sikaku">DATA!$D$805</definedName>
    <definedName name="wskakunin_sekou3_SEKOU_NO">DATA!$D$807</definedName>
    <definedName name="wskakunin_sekou3_SEKOU_SIKAKU__label">DATA!$D$806</definedName>
    <definedName name="wskakunin_sekou3_TEL">DATA!$D$811</definedName>
    <definedName name="wskakunin_sekou3_ZIP">DATA!$D$809</definedName>
    <definedName name="wskakunin_sekou4__address">DATA!$D$820</definedName>
    <definedName name="wskakunin_sekou4_JIMU_NAME">DATA!$D$818</definedName>
    <definedName name="wskakunin_sekou4_NAME">DATA!$D$814</definedName>
    <definedName name="wskakunin_sekou4_SEKOU__sikaku">DATA!$D$815</definedName>
    <definedName name="wskakunin_sekou4_SEKOU_NO">DATA!$D$817</definedName>
    <definedName name="wskakunin_sekou4_SEKOU_SIKAKU__label">DATA!$D$816</definedName>
    <definedName name="wskakunin_sekou4_TEL">DATA!$D$821</definedName>
    <definedName name="wskakunin_sekou4_ZIP">DATA!$D$819</definedName>
    <definedName name="wskakunin_sekou5__address">DATA!$D$830</definedName>
    <definedName name="wskakunin_sekou5_JIMU_NAME">DATA!$D$828</definedName>
    <definedName name="wskakunin_sekou5_NAME">DATA!$D$824</definedName>
    <definedName name="wskakunin_sekou5_SEKOU__sikaku">DATA!$D$825</definedName>
    <definedName name="wskakunin_sekou5_SEKOU_NO">DATA!$D$827</definedName>
    <definedName name="wskakunin_sekou5_SEKOU_SIKAKU__label">DATA!$D$826</definedName>
    <definedName name="wskakunin_sekou5_TEL">DATA!$D$831</definedName>
    <definedName name="wskakunin_sekou5_ZIP">DATA!$D$829</definedName>
    <definedName name="wskakunin_sekou6__address">DATA!$D$840</definedName>
    <definedName name="wskakunin_sekou6_JIMU_NAME">DATA!$D$838</definedName>
    <definedName name="wskakunin_sekou6_NAME">DATA!$D$834</definedName>
    <definedName name="wskakunin_sekou6_SEKOU__sikaku">DATA!$D$835</definedName>
    <definedName name="wskakunin_sekou6_SEKOU_NO">DATA!$D$837</definedName>
    <definedName name="wskakunin_sekou6_SEKOU_SIKAKU__label">DATA!$D$836</definedName>
    <definedName name="wskakunin_sekou6_TEL">DATA!$D$841</definedName>
    <definedName name="wskakunin_sekou6_ZIP">DATA!$D$839</definedName>
    <definedName name="wskakunin_SHIKITI_MENSEKI_1_TOTAL">DATA!$D$968</definedName>
    <definedName name="wskakunin_SHIKITI_MENSEKI_1A">DATA!$D$944</definedName>
    <definedName name="wskakunin_SHIKITI_MENSEKI_1B">DATA!$D$945</definedName>
    <definedName name="wskakunin_SHIKITI_MENSEKI_1C">DATA!$D$946</definedName>
    <definedName name="wskakunin_SHIKITI_MENSEKI_1D">DATA!$D$947</definedName>
    <definedName name="wskakunin_SHIKITI_MENSEKI_2_TOTAL">DATA!$D$970</definedName>
    <definedName name="wskakunin_SHIKITI_MENSEKI_2A">DATA!$D$948</definedName>
    <definedName name="wskakunin_SHIKITI_MENSEKI_2B">DATA!$D$949</definedName>
    <definedName name="wskakunin_SHIKITI_MENSEKI_2C">DATA!$D$950</definedName>
    <definedName name="wskakunin_SHIKITI_MENSEKI_2D">DATA!$D$951</definedName>
    <definedName name="wskakunin_SHIKITI_MENSEKI_BIKOU">DATA!$D$973</definedName>
    <definedName name="wskakunin_SHINSEI_DATE">DATA!$D$53</definedName>
    <definedName name="wskakunin_SONOTA_KUIKI">DATA!$D$936</definedName>
    <definedName name="wskakunin_TAKASA_MAX_SHINSEI">DATA!$D$1097</definedName>
    <definedName name="wskakunin_TAKASA_MAX_SONOTA">DATA!$D$1098</definedName>
    <definedName name="wskakunin_tekihan01_TEKIHAN_KIKAN_ADDRESS">DATA!$D$859</definedName>
    <definedName name="wskakunin_tekihan01_TEKIHAN_KIKAN_KEN__ken">DATA!$D$858</definedName>
    <definedName name="wskakunin_tekihan01_TEKIHAN_KIKAN_NAME">DATA!$D$857</definedName>
    <definedName name="wskakunin_tekihan01_TEKIHAN_STATE">DATA!$D$853</definedName>
    <definedName name="wskakunin_tekihan02_TEKIHAN_KIKAN_ADDRESS">DATA!$D$863</definedName>
    <definedName name="wskakunin_tekihan02_TEKIHAN_KIKAN_KEN__ken">DATA!$D$862</definedName>
    <definedName name="wskakunin_tekihan02_TEKIHAN_KIKAN_NAME">DATA!$D$861</definedName>
    <definedName name="wskakunin_TOKUREI_1">DATA!$D$1191</definedName>
    <definedName name="wskakunin_TOKUREI_2">DATA!$D$1192</definedName>
    <definedName name="wskakunin_TOKUREI_3">DATA!$D$1193</definedName>
    <definedName name="wskakunin_TOKUREI_4">DATA!$D$1194</definedName>
    <definedName name="wskakunin_TOKUREI_TAKASA">DATA!$D$1112</definedName>
    <definedName name="wskakunin_TOKUREI_TAKASA_DOURO">DATA!$D$1117</definedName>
    <definedName name="wskakunin_TOKUREI_TAKASA_KITA">DATA!$D$1119</definedName>
    <definedName name="wskakunin_TOKUREI_TAKASA_RINTI">DATA!$D$1118</definedName>
    <definedName name="wskakunin_TOKUTEI_KOUJI_KANRYOU_DATE">DATA!$D$1206</definedName>
    <definedName name="wskakunin_TOKUTEI_KOUTEI">DATA!$D$1203</definedName>
    <definedName name="wskakunin_YOUSEKI_RITU">DATA!$D$1089</definedName>
    <definedName name="wskakunin_YOUSEKI_RITU_A">DATA!$D$958</definedName>
    <definedName name="wskakunin_YOUSEKI_RITU_B">DATA!$D$959</definedName>
    <definedName name="wskakunin_YOUSEKI_RITU_C">DATA!$D$960</definedName>
    <definedName name="wskakunin_YOUSEKI_RITU_D">DATA!$D$961</definedName>
    <definedName name="wskakunin_YOUTO">DATA!$D$976</definedName>
    <definedName name="wskakunin_YOUTO_CODE">DATA!$D$975</definedName>
    <definedName name="wskakunin_YOUTO_TIIKI_A">DATA!$D$953</definedName>
    <definedName name="wskakunin_YOUTO_TIIKI_B">DATA!$D$954</definedName>
    <definedName name="wskakunin_YOUTO_TIIKI_C">DATA!$D$955</definedName>
    <definedName name="wskakunin_YOUTO_TIIKI_D">DATA!$D$956</definedName>
    <definedName name="wskakuninKOUJI_SETUBI">DATA!$D$987</definedName>
    <definedName name="wssonota_owner1__address">DATA!$D$80</definedName>
    <definedName name="wssonota_owner1_JIMU_NAME">DATA!$D$71</definedName>
    <definedName name="wssonota_owner1_JIMU_NAME_KANA">DATA!$D$72</definedName>
    <definedName name="wssonota_owner1_NAME">DATA!$D$75</definedName>
    <definedName name="wssonota_owner1_NAME_KANA">DATA!$D$76</definedName>
    <definedName name="wssonota_owner1_POST">DATA!$D$73</definedName>
    <definedName name="wssonota_owner1_POST_KANA">DATA!$D$74</definedName>
    <definedName name="wssonota_owner1_TEL">DATA!$D$81</definedName>
    <definedName name="wssonota_owner1_ZIP">DATA!$D$79</definedName>
    <definedName name="Z_D83ABAE7_1F4C_4C77_8E04_C5172671ED17_.wvu.Rows" localSheetId="3" hidden="1">DATA!$883:$889</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認">INDIRECT(軽微な変更説明書!$AB$18)</definedName>
    <definedName name="確認図形">軽微な変更説明書!$O$20</definedName>
    <definedName name="確変">リスト!$S$1:$S$2</definedName>
    <definedName name="居住産業併用建築物コード">建築工事届!$O$63</definedName>
    <definedName name="居住産業併用建築物コード2">建築工事届!$O$114</definedName>
    <definedName name="居住産業併用建築物テキスト">建築工事届_主要用途!$C$3</definedName>
    <definedName name="居住産業併用建築物テキスト2">建築工事届_主要用途!$E$3</definedName>
    <definedName name="居住専用建築物コード">建築工事届!$O$62</definedName>
    <definedName name="居住専用建築物コード2">建築工事届!$O$113</definedName>
    <definedName name="居住専用建築物テキスト">建築工事届_主要用途!$C$2</definedName>
    <definedName name="居住専用建築物テキスト2">建築工事届_主要用途!$E$2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監理計画届" hidden="1">#REF!</definedName>
    <definedName name="工事届用主要用途">項目リスト!$AO$3:$AO$7</definedName>
    <definedName name="工事届用主要用途2">項目リスト!$AP$3:$AP$39</definedName>
    <definedName name="構造">項目リスト!$AF$3:$AF$8</definedName>
    <definedName name="号">リスト!$U$1:$U$2</definedName>
    <definedName name="産業専用建築物コード">建築工事届!$O$64</definedName>
    <definedName name="産業専用建築物コード2">建築工事届!$O$115</definedName>
    <definedName name="産業専用建築物テキスト">建築工事届_主要用途!$C$4</definedName>
    <definedName name="産業専用建築物テキスト2">建築工事届_主要用途!$E$4</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中間検査">INDIRECT(軽微な変更説明書!$AE$18)</definedName>
    <definedName name="中間検査図形">軽微な変更説明書!$P$20:$Q$20</definedName>
    <definedName name="都道府県">リスト!$B$1:$B$3</definedName>
    <definedName name="特定工程">リスト!$N$1:$N$12</definedName>
    <definedName name="二級">項目リスト!$B$3:$B$49</definedName>
    <definedName name="年度">リスト!$E$1:$E$22</definedName>
    <definedName name="非表示">軽微な変更説明書!$R$20</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62913"/>
  <customWorkbookViews>
    <customWorkbookView name="terada - 個人用ビュー" guid="{2DA24103-744A-47E0-AFFB-F94A0E194D57}" mergeInterval="0" personalView="1" xWindow="2047" yWindow="11" windowWidth="1720" windowHeight="1010" tabRatio="947" activeSheetId="1"/>
    <customWorkbookView name="tokunaga - 個人用ビュー" guid="{D83ABAE7-1F4C-4C77-8E04-C5172671ED17}" mergeInterval="0" personalView="1" maximized="1" xWindow="1912" yWindow="-8" windowWidth="1936" windowHeight="1096" tabRatio="947" activeSheetId="2"/>
    <customWorkbookView name="kasumi-PC - 個人用ビュー" guid="{E028D9C5-4CBB-430B-B1F8-80DD1ABDFA29}" mergeInterval="0" personalView="1" maximized="1" xWindow="1912" yWindow="-8" windowWidth="1936" windowHeight="1096" tabRatio="947" activeSheetId="3"/>
  </customWorkbookViews>
</workbook>
</file>

<file path=xl/calcChain.xml><?xml version="1.0" encoding="utf-8"?>
<calcChain xmlns="http://schemas.openxmlformats.org/spreadsheetml/2006/main">
  <c r="F13" i="85" l="1"/>
  <c r="F11" i="85"/>
  <c r="AM8" i="85"/>
  <c r="F8" i="85"/>
  <c r="F6" i="85"/>
  <c r="AM3" i="85"/>
  <c r="AM2" i="85"/>
  <c r="F18" i="86"/>
  <c r="F17" i="86"/>
  <c r="F16" i="86"/>
  <c r="F14" i="86"/>
  <c r="F12" i="86"/>
  <c r="F11" i="86"/>
  <c r="F10" i="86"/>
  <c r="F8" i="86"/>
  <c r="AN3" i="86"/>
  <c r="AN2" i="86"/>
  <c r="H15" i="69"/>
  <c r="H14" i="69"/>
  <c r="N10" i="69"/>
  <c r="N8" i="69"/>
  <c r="I19" i="84"/>
  <c r="I16" i="84"/>
  <c r="P11" i="84"/>
  <c r="P9" i="84"/>
  <c r="J19" i="74"/>
  <c r="J16" i="74"/>
  <c r="G13" i="74"/>
  <c r="E13" i="74"/>
  <c r="B13" i="74"/>
  <c r="Q11" i="74"/>
  <c r="Q9" i="74"/>
  <c r="J19" i="73"/>
  <c r="J16" i="73"/>
  <c r="G13" i="73"/>
  <c r="E13" i="73"/>
  <c r="B13" i="73"/>
  <c r="Q11" i="73"/>
  <c r="Q9" i="73"/>
  <c r="J19" i="72"/>
  <c r="O18" i="72"/>
  <c r="M18" i="72"/>
  <c r="J18" i="72"/>
  <c r="J17" i="72"/>
  <c r="J16" i="72"/>
  <c r="G13" i="72"/>
  <c r="E13" i="72"/>
  <c r="B13" i="72"/>
  <c r="Q11" i="72"/>
  <c r="Q9" i="72"/>
  <c r="F25" i="79"/>
  <c r="F23" i="79"/>
  <c r="M17" i="79"/>
  <c r="M15" i="79"/>
  <c r="R16" i="70"/>
  <c r="I16" i="70"/>
  <c r="I15" i="70"/>
  <c r="I14" i="70"/>
  <c r="Q9" i="70"/>
  <c r="Q7" i="70"/>
  <c r="BJ229" i="78"/>
  <c r="BB229" i="78"/>
  <c r="AB229" i="78"/>
  <c r="BB224" i="78"/>
  <c r="AG224" i="78"/>
  <c r="AA221" i="78"/>
  <c r="AK216" i="78"/>
  <c r="AB216" i="78"/>
  <c r="AA208" i="78"/>
  <c r="AV205" i="78"/>
  <c r="AV202" i="78"/>
  <c r="T202" i="78"/>
  <c r="AP199" i="78"/>
  <c r="T199" i="78"/>
  <c r="AN195" i="78"/>
  <c r="Z195" i="78"/>
  <c r="BB192" i="78"/>
  <c r="AP192" i="78"/>
  <c r="AI190" i="78"/>
  <c r="AI188" i="78"/>
  <c r="AI186" i="78"/>
  <c r="AN184" i="78"/>
  <c r="T183" i="78"/>
  <c r="BA180" i="78"/>
  <c r="AM180" i="78"/>
  <c r="U175" i="78"/>
  <c r="U170" i="78"/>
  <c r="BB163" i="78"/>
  <c r="U163" i="78"/>
  <c r="BC159" i="78"/>
  <c r="AT159" i="78"/>
  <c r="AQ159" i="78"/>
  <c r="AG159" i="78"/>
  <c r="U155" i="78"/>
  <c r="U151" i="78"/>
  <c r="U146" i="78"/>
  <c r="U142" i="78"/>
  <c r="U53" i="78"/>
  <c r="U48" i="78"/>
  <c r="U24" i="78"/>
  <c r="U20" i="78"/>
  <c r="U5" i="81"/>
  <c r="U4" i="81"/>
  <c r="R115" i="80"/>
  <c r="R114" i="80"/>
  <c r="R113" i="80"/>
  <c r="W109" i="80"/>
  <c r="H109" i="80"/>
  <c r="W108" i="80"/>
  <c r="H108" i="80"/>
  <c r="N95" i="80"/>
  <c r="W94" i="80"/>
  <c r="P94" i="80"/>
  <c r="I94" i="80"/>
  <c r="W92" i="80"/>
  <c r="P92" i="80"/>
  <c r="I92" i="80"/>
  <c r="W88" i="80"/>
  <c r="P88" i="80"/>
  <c r="I88" i="80"/>
  <c r="W66" i="80"/>
  <c r="P66" i="80"/>
  <c r="I66" i="80"/>
  <c r="R64" i="80"/>
  <c r="R63" i="80"/>
  <c r="R62" i="80"/>
  <c r="U61" i="80"/>
  <c r="P61" i="80"/>
  <c r="K61" i="80"/>
  <c r="F61" i="80"/>
  <c r="G60" i="80"/>
  <c r="R59" i="80"/>
  <c r="G59" i="80"/>
  <c r="N58" i="80"/>
  <c r="G58" i="80"/>
  <c r="G55" i="80"/>
  <c r="Q47" i="80"/>
  <c r="O47" i="80"/>
  <c r="K47" i="80"/>
  <c r="Q46" i="80"/>
  <c r="O46" i="80"/>
  <c r="K46" i="80"/>
  <c r="I34" i="80"/>
  <c r="N33" i="80"/>
  <c r="L33" i="80"/>
  <c r="H33" i="80"/>
  <c r="Q32" i="80"/>
  <c r="J32" i="80"/>
  <c r="I32" i="80"/>
  <c r="E30" i="80"/>
  <c r="E29" i="80"/>
  <c r="E28" i="80"/>
  <c r="E27" i="80"/>
  <c r="E25" i="80"/>
  <c r="E23" i="80"/>
  <c r="E22" i="80"/>
  <c r="E21" i="80"/>
  <c r="E20" i="80"/>
  <c r="E18" i="80"/>
  <c r="E16" i="80"/>
  <c r="E15" i="80"/>
  <c r="E14" i="80"/>
  <c r="E12" i="80"/>
  <c r="B10" i="80"/>
  <c r="Y8" i="80"/>
  <c r="W8" i="80"/>
  <c r="S8" i="80"/>
  <c r="AY35" i="77"/>
  <c r="AX35" i="77"/>
  <c r="AW35" i="77"/>
  <c r="AV35" i="77"/>
  <c r="AU35" i="77"/>
  <c r="AY34" i="77"/>
  <c r="AX34" i="77"/>
  <c r="AW34" i="77"/>
  <c r="AV34" i="77"/>
  <c r="AU34" i="77"/>
  <c r="AY33" i="77"/>
  <c r="AX33" i="77"/>
  <c r="AW33" i="77"/>
  <c r="AV33" i="77"/>
  <c r="AU33" i="77"/>
  <c r="AY32" i="77"/>
  <c r="AX32" i="77"/>
  <c r="AW32" i="77"/>
  <c r="AV32" i="77"/>
  <c r="AU32" i="77"/>
  <c r="AA32" i="77"/>
  <c r="AY31" i="77"/>
  <c r="AX31" i="77"/>
  <c r="AW31" i="77"/>
  <c r="AV31" i="77"/>
  <c r="AU31" i="77"/>
  <c r="AA31" i="77"/>
  <c r="AY30" i="77"/>
  <c r="AX30" i="77"/>
  <c r="AW30" i="77"/>
  <c r="AV30" i="77"/>
  <c r="AU30" i="77"/>
  <c r="E30" i="77"/>
  <c r="AY29" i="77"/>
  <c r="AX29" i="77"/>
  <c r="AW29" i="77"/>
  <c r="AV29" i="77"/>
  <c r="AU29" i="77"/>
  <c r="AY28" i="77"/>
  <c r="AX28" i="77"/>
  <c r="AW28" i="77"/>
  <c r="AV28" i="77"/>
  <c r="AU28" i="77"/>
  <c r="E12" i="77"/>
  <c r="E10" i="77"/>
  <c r="E8" i="77"/>
  <c r="E6" i="77"/>
  <c r="E4" i="77"/>
  <c r="E4" i="76"/>
  <c r="D4" i="76"/>
  <c r="C4" i="76"/>
  <c r="B4" i="76"/>
  <c r="E3" i="76"/>
  <c r="D3" i="76"/>
  <c r="C3" i="76"/>
  <c r="B3" i="76"/>
  <c r="E2" i="76"/>
  <c r="D2" i="76"/>
  <c r="C2" i="76"/>
  <c r="B2" i="76"/>
  <c r="F1335" i="3"/>
  <c r="F1324" i="3"/>
  <c r="F1323" i="3"/>
  <c r="F1322" i="3"/>
  <c r="F1321" i="3"/>
  <c r="F1320" i="3"/>
  <c r="F1311" i="3"/>
  <c r="F1310" i="3"/>
  <c r="F1309" i="3"/>
  <c r="F1308" i="3"/>
  <c r="F1307" i="3"/>
  <c r="F1306" i="3"/>
  <c r="F1300" i="3"/>
  <c r="F1299" i="3"/>
  <c r="F1276" i="3"/>
  <c r="F1275" i="3"/>
  <c r="F1274" i="3"/>
  <c r="F1271" i="3"/>
  <c r="F1270" i="3"/>
  <c r="F1269" i="3"/>
  <c r="F1237" i="3"/>
  <c r="F1236" i="3"/>
  <c r="F1235" i="3"/>
  <c r="F1234" i="3"/>
  <c r="F1233" i="3"/>
  <c r="F1230" i="3"/>
  <c r="F1229" i="3"/>
  <c r="F1228" i="3"/>
  <c r="F1227" i="3"/>
  <c r="F1226" i="3"/>
  <c r="F1223" i="3"/>
  <c r="F1222" i="3"/>
  <c r="F1221" i="3"/>
  <c r="F1220" i="3"/>
  <c r="F1219" i="3"/>
  <c r="F1217" i="3"/>
  <c r="F1216" i="3"/>
  <c r="F1215" i="3"/>
  <c r="F1214" i="3"/>
  <c r="F1213" i="3"/>
  <c r="F1212" i="3"/>
  <c r="F1203" i="3"/>
  <c r="F1196" i="3"/>
  <c r="F1190" i="3"/>
  <c r="F1183" i="3"/>
  <c r="F1181" i="3"/>
  <c r="F1179" i="3"/>
  <c r="F1178" i="3"/>
  <c r="F1177" i="3"/>
  <c r="F1175" i="3"/>
  <c r="F1174" i="3"/>
  <c r="F1173" i="3"/>
  <c r="F1170" i="3"/>
  <c r="F1169" i="3"/>
  <c r="F1168" i="3"/>
  <c r="F1165" i="3"/>
  <c r="F1164" i="3"/>
  <c r="F1163" i="3"/>
  <c r="F1160" i="3"/>
  <c r="F1159" i="3"/>
  <c r="F1158" i="3"/>
  <c r="F1153" i="3"/>
  <c r="F1152" i="3"/>
  <c r="F1150" i="3"/>
  <c r="F1148" i="3"/>
  <c r="F1146" i="3"/>
  <c r="F1143" i="3"/>
  <c r="F1142" i="3"/>
  <c r="F1141" i="3"/>
  <c r="F1140" i="3"/>
  <c r="F1139" i="3"/>
  <c r="F1135" i="3"/>
  <c r="F1134" i="3"/>
  <c r="F1133" i="3"/>
  <c r="F1132" i="3"/>
  <c r="F1131" i="3"/>
  <c r="F1127" i="3"/>
  <c r="F1126" i="3"/>
  <c r="F1125" i="3"/>
  <c r="F1124" i="3"/>
  <c r="F1123" i="3"/>
  <c r="F1119" i="3"/>
  <c r="F1118" i="3"/>
  <c r="F1117" i="3"/>
  <c r="F1114" i="3"/>
  <c r="F1113" i="3"/>
  <c r="F1112" i="3"/>
  <c r="F1110" i="3"/>
  <c r="F1109" i="3"/>
  <c r="F1108" i="3"/>
  <c r="F1107" i="3"/>
  <c r="F1106" i="3"/>
  <c r="F1104" i="3"/>
  <c r="F1103" i="3"/>
  <c r="F1101" i="3"/>
  <c r="F1100" i="3"/>
  <c r="F1098" i="3"/>
  <c r="F1097" i="3"/>
  <c r="F1093" i="3"/>
  <c r="F1092" i="3"/>
  <c r="F1089" i="3"/>
  <c r="F1086" i="3"/>
  <c r="F1083" i="3"/>
  <c r="F1082" i="3"/>
  <c r="F1081" i="3"/>
  <c r="F1078" i="3"/>
  <c r="F1077" i="3"/>
  <c r="F1076" i="3"/>
  <c r="F1073" i="3"/>
  <c r="F1072" i="3"/>
  <c r="F1071" i="3"/>
  <c r="F1068" i="3"/>
  <c r="F1067" i="3"/>
  <c r="F1066" i="3"/>
  <c r="F1063" i="3"/>
  <c r="F1062" i="3"/>
  <c r="F1061" i="3"/>
  <c r="F1058" i="3"/>
  <c r="F1057" i="3"/>
  <c r="F1056" i="3"/>
  <c r="F1053" i="3"/>
  <c r="F1052" i="3"/>
  <c r="F1051" i="3"/>
  <c r="F1048" i="3"/>
  <c r="F1047" i="3"/>
  <c r="F1046" i="3"/>
  <c r="F1043" i="3"/>
  <c r="F1042" i="3"/>
  <c r="F1041" i="3"/>
  <c r="F1038" i="3"/>
  <c r="F1037" i="3"/>
  <c r="F1036" i="3"/>
  <c r="F1033" i="3"/>
  <c r="F1032" i="3"/>
  <c r="F1031" i="3"/>
  <c r="F1028" i="3"/>
  <c r="F1027" i="3"/>
  <c r="F1026" i="3"/>
  <c r="F1022" i="3"/>
  <c r="F1021" i="3"/>
  <c r="F1020" i="3"/>
  <c r="F1019" i="3"/>
  <c r="F1016" i="3"/>
  <c r="F1015" i="3"/>
  <c r="F1014" i="3"/>
  <c r="F1013" i="3"/>
  <c r="F1012" i="3"/>
  <c r="F1011" i="3"/>
  <c r="F1010" i="3"/>
  <c r="F1009" i="3"/>
  <c r="F1008" i="3"/>
  <c r="F1005" i="3"/>
  <c r="F1004" i="3"/>
  <c r="F1003" i="3"/>
  <c r="F1002" i="3"/>
  <c r="F1001" i="3"/>
  <c r="F1000" i="3"/>
  <c r="F998" i="3"/>
  <c r="F997" i="3"/>
  <c r="F996" i="3"/>
  <c r="F995" i="3"/>
  <c r="F994" i="3"/>
  <c r="F993" i="3"/>
  <c r="F992" i="3"/>
  <c r="F991" i="3"/>
  <c r="F990" i="3"/>
  <c r="F987" i="3"/>
  <c r="F986" i="3"/>
  <c r="F985" i="3"/>
  <c r="F984" i="3"/>
  <c r="F983" i="3"/>
  <c r="F982" i="3"/>
  <c r="F981" i="3"/>
  <c r="F980" i="3"/>
  <c r="F979" i="3"/>
  <c r="F977" i="3"/>
  <c r="F976" i="3"/>
  <c r="F975" i="3"/>
  <c r="F973" i="3"/>
  <c r="F972" i="3"/>
  <c r="F971" i="3"/>
  <c r="F970" i="3"/>
  <c r="F969" i="3"/>
  <c r="F968" i="3"/>
  <c r="F966" i="3"/>
  <c r="F965" i="3"/>
  <c r="F964" i="3"/>
  <c r="F963" i="3"/>
  <c r="F961" i="3"/>
  <c r="F960" i="3"/>
  <c r="F959" i="3"/>
  <c r="F958" i="3"/>
  <c r="F956" i="3"/>
  <c r="F955" i="3"/>
  <c r="F954" i="3"/>
  <c r="F953" i="3"/>
  <c r="F951" i="3"/>
  <c r="F950" i="3"/>
  <c r="F949" i="3"/>
  <c r="F948" i="3"/>
  <c r="F947" i="3"/>
  <c r="F946" i="3"/>
  <c r="F945" i="3"/>
  <c r="F944" i="3"/>
  <c r="F940" i="3"/>
  <c r="F939" i="3"/>
  <c r="F936" i="3"/>
  <c r="F934" i="3"/>
  <c r="F933" i="3"/>
  <c r="F932" i="3"/>
  <c r="F931" i="3"/>
  <c r="F930" i="3"/>
  <c r="F928" i="3"/>
  <c r="F927" i="3"/>
  <c r="F926" i="3"/>
  <c r="F925" i="3"/>
  <c r="F924" i="3"/>
  <c r="F923" i="3"/>
  <c r="F922" i="3"/>
  <c r="F921" i="3"/>
  <c r="F920" i="3"/>
  <c r="F917" i="3"/>
  <c r="F916" i="3"/>
  <c r="F915" i="3"/>
  <c r="F912" i="3"/>
  <c r="F911" i="3"/>
  <c r="F910" i="3"/>
  <c r="F905" i="3"/>
  <c r="F904" i="3"/>
  <c r="F903" i="3"/>
  <c r="F901" i="3"/>
  <c r="F900" i="3"/>
  <c r="F899" i="3"/>
  <c r="F897" i="3"/>
  <c r="F896" i="3"/>
  <c r="F895" i="3"/>
  <c r="F894" i="3"/>
  <c r="F893" i="3"/>
  <c r="F892" i="3"/>
  <c r="F891" i="3"/>
  <c r="F890" i="3"/>
  <c r="F889" i="3"/>
  <c r="F882" i="3"/>
  <c r="F881" i="3"/>
  <c r="F877" i="3"/>
  <c r="F876" i="3"/>
  <c r="F875" i="3"/>
  <c r="F873" i="3"/>
  <c r="F872" i="3"/>
  <c r="F871" i="3"/>
  <c r="F870" i="3"/>
  <c r="F869" i="3"/>
  <c r="F868" i="3"/>
  <c r="F864" i="3"/>
  <c r="F863" i="3"/>
  <c r="F862" i="3"/>
  <c r="F861" i="3"/>
  <c r="F860" i="3"/>
  <c r="F859" i="3"/>
  <c r="F858" i="3"/>
  <c r="F857" i="3"/>
  <c r="F856" i="3"/>
  <c r="F855" i="3"/>
  <c r="F854" i="3"/>
  <c r="F849" i="3"/>
  <c r="F848" i="3"/>
  <c r="F847" i="3"/>
  <c r="F845" i="3"/>
  <c r="F844" i="3"/>
  <c r="F841" i="3"/>
  <c r="F840" i="3"/>
  <c r="F839" i="3"/>
  <c r="F838" i="3"/>
  <c r="F837" i="3"/>
  <c r="F836" i="3"/>
  <c r="F835" i="3"/>
  <c r="F834" i="3"/>
  <c r="F831" i="3"/>
  <c r="F830" i="3"/>
  <c r="F829" i="3"/>
  <c r="F828" i="3"/>
  <c r="F827" i="3"/>
  <c r="F826" i="3"/>
  <c r="F825" i="3"/>
  <c r="F824" i="3"/>
  <c r="F821" i="3"/>
  <c r="F820" i="3"/>
  <c r="F819" i="3"/>
  <c r="F818" i="3"/>
  <c r="F817" i="3"/>
  <c r="F816" i="3"/>
  <c r="F815" i="3"/>
  <c r="F814" i="3"/>
  <c r="F811" i="3"/>
  <c r="F810" i="3"/>
  <c r="F809" i="3"/>
  <c r="F808" i="3"/>
  <c r="F807" i="3"/>
  <c r="F806" i="3"/>
  <c r="F805" i="3"/>
  <c r="F804" i="3"/>
  <c r="F801" i="3"/>
  <c r="F800" i="3"/>
  <c r="F799" i="3"/>
  <c r="F798" i="3"/>
  <c r="F797" i="3"/>
  <c r="F796" i="3"/>
  <c r="F795" i="3"/>
  <c r="F794" i="3"/>
  <c r="F792" i="3"/>
  <c r="F791" i="3"/>
  <c r="F790" i="3"/>
  <c r="F789" i="3"/>
  <c r="F788" i="3"/>
  <c r="F787" i="3"/>
  <c r="F786" i="3"/>
  <c r="F785" i="3"/>
  <c r="F784" i="3"/>
  <c r="F781" i="3"/>
  <c r="F780" i="3"/>
  <c r="F779" i="3"/>
  <c r="F778" i="3"/>
  <c r="F777" i="3"/>
  <c r="F776" i="3"/>
  <c r="F775" i="3"/>
  <c r="F774" i="3"/>
  <c r="F773" i="3"/>
  <c r="F772" i="3"/>
  <c r="F771" i="3"/>
  <c r="F770" i="3"/>
  <c r="F769" i="3"/>
  <c r="F768" i="3"/>
  <c r="F765" i="3"/>
  <c r="F764" i="3"/>
  <c r="F763" i="3"/>
  <c r="F762" i="3"/>
  <c r="F761" i="3"/>
  <c r="F760" i="3"/>
  <c r="F759" i="3"/>
  <c r="F758" i="3"/>
  <c r="F757" i="3"/>
  <c r="F756" i="3"/>
  <c r="F755" i="3"/>
  <c r="F754" i="3"/>
  <c r="F753" i="3"/>
  <c r="F752" i="3"/>
  <c r="F749" i="3"/>
  <c r="F748" i="3"/>
  <c r="F747" i="3"/>
  <c r="F746" i="3"/>
  <c r="F745" i="3"/>
  <c r="F744" i="3"/>
  <c r="F743" i="3"/>
  <c r="F742" i="3"/>
  <c r="F741" i="3"/>
  <c r="F740" i="3"/>
  <c r="F739" i="3"/>
  <c r="F738" i="3"/>
  <c r="F737" i="3"/>
  <c r="F736" i="3"/>
  <c r="F733" i="3"/>
  <c r="F732" i="3"/>
  <c r="F731" i="3"/>
  <c r="F730" i="3"/>
  <c r="F729" i="3"/>
  <c r="F728" i="3"/>
  <c r="F727" i="3"/>
  <c r="F726" i="3"/>
  <c r="F725" i="3"/>
  <c r="F724" i="3"/>
  <c r="F723" i="3"/>
  <c r="F722" i="3"/>
  <c r="F721" i="3"/>
  <c r="F720" i="3"/>
  <c r="F717" i="3"/>
  <c r="F716" i="3"/>
  <c r="F715" i="3"/>
  <c r="F714" i="3"/>
  <c r="F713" i="3"/>
  <c r="F712" i="3"/>
  <c r="F711" i="3"/>
  <c r="F710" i="3"/>
  <c r="F709" i="3"/>
  <c r="F708" i="3"/>
  <c r="F707" i="3"/>
  <c r="F706" i="3"/>
  <c r="F705" i="3"/>
  <c r="F704" i="3"/>
  <c r="F701" i="3"/>
  <c r="F700" i="3"/>
  <c r="F699" i="3"/>
  <c r="F698" i="3"/>
  <c r="F697" i="3"/>
  <c r="F696" i="3"/>
  <c r="F695" i="3"/>
  <c r="F694" i="3"/>
  <c r="F693" i="3"/>
  <c r="F692" i="3"/>
  <c r="F691" i="3"/>
  <c r="F690" i="3"/>
  <c r="F689" i="3"/>
  <c r="F688" i="3"/>
  <c r="F685" i="3"/>
  <c r="F684" i="3"/>
  <c r="F683" i="3"/>
  <c r="F682" i="3"/>
  <c r="F681" i="3"/>
  <c r="F680" i="3"/>
  <c r="F679" i="3"/>
  <c r="F678" i="3"/>
  <c r="F677" i="3"/>
  <c r="F676" i="3"/>
  <c r="F675" i="3"/>
  <c r="F674" i="3"/>
  <c r="F673" i="3"/>
  <c r="F672" i="3"/>
  <c r="F669" i="3"/>
  <c r="F668" i="3"/>
  <c r="F667" i="3"/>
  <c r="F666" i="3"/>
  <c r="F665" i="3"/>
  <c r="F664" i="3"/>
  <c r="F663" i="3"/>
  <c r="F662" i="3"/>
  <c r="F661" i="3"/>
  <c r="F660" i="3"/>
  <c r="F659" i="3"/>
  <c r="F658" i="3"/>
  <c r="F657" i="3"/>
  <c r="F656" i="3"/>
  <c r="F653" i="3"/>
  <c r="F652" i="3"/>
  <c r="F651" i="3"/>
  <c r="F650" i="3"/>
  <c r="F649" i="3"/>
  <c r="F648" i="3"/>
  <c r="F647" i="3"/>
  <c r="F646" i="3"/>
  <c r="F645" i="3"/>
  <c r="F644" i="3"/>
  <c r="F643" i="3"/>
  <c r="F642" i="3"/>
  <c r="F641" i="3"/>
  <c r="F640" i="3"/>
  <c r="F637" i="3"/>
  <c r="F636" i="3"/>
  <c r="F635" i="3"/>
  <c r="F634" i="3"/>
  <c r="F633" i="3"/>
  <c r="F632" i="3"/>
  <c r="F631" i="3"/>
  <c r="F630" i="3"/>
  <c r="F629" i="3"/>
  <c r="F628" i="3"/>
  <c r="F627" i="3"/>
  <c r="F626" i="3"/>
  <c r="F625" i="3"/>
  <c r="F624" i="3"/>
  <c r="F621" i="3"/>
  <c r="F620" i="3"/>
  <c r="F619" i="3"/>
  <c r="F618" i="3"/>
  <c r="F617" i="3"/>
  <c r="F616" i="3"/>
  <c r="F615" i="3"/>
  <c r="F614" i="3"/>
  <c r="F613" i="3"/>
  <c r="F612" i="3"/>
  <c r="F611" i="3"/>
  <c r="F610" i="3"/>
  <c r="F609" i="3"/>
  <c r="F608" i="3"/>
  <c r="F605" i="3"/>
  <c r="F604" i="3"/>
  <c r="F603" i="3"/>
  <c r="F602" i="3"/>
  <c r="F601" i="3"/>
  <c r="F600" i="3"/>
  <c r="F599" i="3"/>
  <c r="F598" i="3"/>
  <c r="F597" i="3"/>
  <c r="F596" i="3"/>
  <c r="F595" i="3"/>
  <c r="F594" i="3"/>
  <c r="F593" i="3"/>
  <c r="F592" i="3"/>
  <c r="F591" i="3"/>
  <c r="F588" i="3"/>
  <c r="F587" i="3"/>
  <c r="F586" i="3"/>
  <c r="F585" i="3"/>
  <c r="F584" i="3"/>
  <c r="F583" i="3"/>
  <c r="F582" i="3"/>
  <c r="F580" i="3"/>
  <c r="F579" i="3"/>
  <c r="F578" i="3"/>
  <c r="F577" i="3"/>
  <c r="F576" i="3"/>
  <c r="F575" i="3"/>
  <c r="F574" i="3"/>
  <c r="F571" i="3"/>
  <c r="F570" i="3"/>
  <c r="F569" i="3"/>
  <c r="F568" i="3"/>
  <c r="F567" i="3"/>
  <c r="F566" i="3"/>
  <c r="F565" i="3"/>
  <c r="F562" i="3"/>
  <c r="F561" i="3"/>
  <c r="F560" i="3"/>
  <c r="F559" i="3"/>
  <c r="F558" i="3"/>
  <c r="F557" i="3"/>
  <c r="F556" i="3"/>
  <c r="F553" i="3"/>
  <c r="F552" i="3"/>
  <c r="F551" i="3"/>
  <c r="F550" i="3"/>
  <c r="F549" i="3"/>
  <c r="F548" i="3"/>
  <c r="F547" i="3"/>
  <c r="F543" i="3"/>
  <c r="F542" i="3"/>
  <c r="F541" i="3"/>
  <c r="F540" i="3"/>
  <c r="F539" i="3"/>
  <c r="F538" i="3"/>
  <c r="F537" i="3"/>
  <c r="F536" i="3"/>
  <c r="F535" i="3"/>
  <c r="F534" i="3"/>
  <c r="F531" i="3"/>
  <c r="F530" i="3"/>
  <c r="F529" i="3"/>
  <c r="F528" i="3"/>
  <c r="F527" i="3"/>
  <c r="F526" i="3"/>
  <c r="F525" i="3"/>
  <c r="F524" i="3"/>
  <c r="F523" i="3"/>
  <c r="F522" i="3"/>
  <c r="F519" i="3"/>
  <c r="F518" i="3"/>
  <c r="F517" i="3"/>
  <c r="F516" i="3"/>
  <c r="F515" i="3"/>
  <c r="F514" i="3"/>
  <c r="F513" i="3"/>
  <c r="F512" i="3"/>
  <c r="F511" i="3"/>
  <c r="F510" i="3"/>
  <c r="F507" i="3"/>
  <c r="F506" i="3"/>
  <c r="F505" i="3"/>
  <c r="F504" i="3"/>
  <c r="F503" i="3"/>
  <c r="F502" i="3"/>
  <c r="F501" i="3"/>
  <c r="F500" i="3"/>
  <c r="F499" i="3"/>
  <c r="F498" i="3"/>
  <c r="F494" i="3"/>
  <c r="F493" i="3"/>
  <c r="F492" i="3"/>
  <c r="F491" i="3"/>
  <c r="F490" i="3"/>
  <c r="F489" i="3"/>
  <c r="F488" i="3"/>
  <c r="F487" i="3"/>
  <c r="F486" i="3"/>
  <c r="F485" i="3"/>
  <c r="F484" i="3"/>
  <c r="F483" i="3"/>
  <c r="F482" i="3"/>
  <c r="F481" i="3"/>
  <c r="F480" i="3"/>
  <c r="F477" i="3"/>
  <c r="F476" i="3"/>
  <c r="F475" i="3"/>
  <c r="F474" i="3"/>
  <c r="F473" i="3"/>
  <c r="F472" i="3"/>
  <c r="F471" i="3"/>
  <c r="F470" i="3"/>
  <c r="F469" i="3"/>
  <c r="F468" i="3"/>
  <c r="F467" i="3"/>
  <c r="F466" i="3"/>
  <c r="F465" i="3"/>
  <c r="F464" i="3"/>
  <c r="F463" i="3"/>
  <c r="F460" i="3"/>
  <c r="F459" i="3"/>
  <c r="F458" i="3"/>
  <c r="F457" i="3"/>
  <c r="F456" i="3"/>
  <c r="F455" i="3"/>
  <c r="F454" i="3"/>
  <c r="F453" i="3"/>
  <c r="F452" i="3"/>
  <c r="F451" i="3"/>
  <c r="F450" i="3"/>
  <c r="F449" i="3"/>
  <c r="F448" i="3"/>
  <c r="F447" i="3"/>
  <c r="F446" i="3"/>
  <c r="F443" i="3"/>
  <c r="F442" i="3"/>
  <c r="F441" i="3"/>
  <c r="F440" i="3"/>
  <c r="F439" i="3"/>
  <c r="F438" i="3"/>
  <c r="F437" i="3"/>
  <c r="F436" i="3"/>
  <c r="F435" i="3"/>
  <c r="F434" i="3"/>
  <c r="F433" i="3"/>
  <c r="F432" i="3"/>
  <c r="F431" i="3"/>
  <c r="F430" i="3"/>
  <c r="F429" i="3"/>
  <c r="F426" i="3"/>
  <c r="F425" i="3"/>
  <c r="F424" i="3"/>
  <c r="F423" i="3"/>
  <c r="F422" i="3"/>
  <c r="F421" i="3"/>
  <c r="F420" i="3"/>
  <c r="F419" i="3"/>
  <c r="F418" i="3"/>
  <c r="F417" i="3"/>
  <c r="F416" i="3"/>
  <c r="F415" i="3"/>
  <c r="F414" i="3"/>
  <c r="F413" i="3"/>
  <c r="F412" i="3"/>
  <c r="F409" i="3"/>
  <c r="F408" i="3"/>
  <c r="F407" i="3"/>
  <c r="F406" i="3"/>
  <c r="F405" i="3"/>
  <c r="F404" i="3"/>
  <c r="F403" i="3"/>
  <c r="F402" i="3"/>
  <c r="F401" i="3"/>
  <c r="F400" i="3"/>
  <c r="F399" i="3"/>
  <c r="F398" i="3"/>
  <c r="F397" i="3"/>
  <c r="F396" i="3"/>
  <c r="F395" i="3"/>
  <c r="F392" i="3"/>
  <c r="F391" i="3"/>
  <c r="F390" i="3"/>
  <c r="F389" i="3"/>
  <c r="F388" i="3"/>
  <c r="F387" i="3"/>
  <c r="F386" i="3"/>
  <c r="F385" i="3"/>
  <c r="F384" i="3"/>
  <c r="F383" i="3"/>
  <c r="F382" i="3"/>
  <c r="F381" i="3"/>
  <c r="F380" i="3"/>
  <c r="F379" i="3"/>
  <c r="F378" i="3"/>
  <c r="F375" i="3"/>
  <c r="F374" i="3"/>
  <c r="F373" i="3"/>
  <c r="F372" i="3"/>
  <c r="F371" i="3"/>
  <c r="F370" i="3"/>
  <c r="F369" i="3"/>
  <c r="F368" i="3"/>
  <c r="F367" i="3"/>
  <c r="F366" i="3"/>
  <c r="F365" i="3"/>
  <c r="F364" i="3"/>
  <c r="F363" i="3"/>
  <c r="F362" i="3"/>
  <c r="F361" i="3"/>
  <c r="F358" i="3"/>
  <c r="F357" i="3"/>
  <c r="F356" i="3"/>
  <c r="F355" i="3"/>
  <c r="F354" i="3"/>
  <c r="F353" i="3"/>
  <c r="F352" i="3"/>
  <c r="F351" i="3"/>
  <c r="F350" i="3"/>
  <c r="F349" i="3"/>
  <c r="F348" i="3"/>
  <c r="F347" i="3"/>
  <c r="F346" i="3"/>
  <c r="F345" i="3"/>
  <c r="F344" i="3"/>
  <c r="F341" i="3"/>
  <c r="F340" i="3"/>
  <c r="F339" i="3"/>
  <c r="F338" i="3"/>
  <c r="F337" i="3"/>
  <c r="F336" i="3"/>
  <c r="F335" i="3"/>
  <c r="F334" i="3"/>
  <c r="F333" i="3"/>
  <c r="F332" i="3"/>
  <c r="F331" i="3"/>
  <c r="F330" i="3"/>
  <c r="F329" i="3"/>
  <c r="F328" i="3"/>
  <c r="F327" i="3"/>
  <c r="F324" i="3"/>
  <c r="F323" i="3"/>
  <c r="F322" i="3"/>
  <c r="F321" i="3"/>
  <c r="F320" i="3"/>
  <c r="F319" i="3"/>
  <c r="F318" i="3"/>
  <c r="F317" i="3"/>
  <c r="F316" i="3"/>
  <c r="F315" i="3"/>
  <c r="F314" i="3"/>
  <c r="F313" i="3"/>
  <c r="F312" i="3"/>
  <c r="F311" i="3"/>
  <c r="F310" i="3"/>
  <c r="F307" i="3"/>
  <c r="F306" i="3"/>
  <c r="F305" i="3"/>
  <c r="F304" i="3"/>
  <c r="F303" i="3"/>
  <c r="F302" i="3"/>
  <c r="F301" i="3"/>
  <c r="F300" i="3"/>
  <c r="F299" i="3"/>
  <c r="F298" i="3"/>
  <c r="F297" i="3"/>
  <c r="F296" i="3"/>
  <c r="F295" i="3"/>
  <c r="F294" i="3"/>
  <c r="F293" i="3"/>
  <c r="F290" i="3"/>
  <c r="F289" i="3"/>
  <c r="F288" i="3"/>
  <c r="F287" i="3"/>
  <c r="F286" i="3"/>
  <c r="F285" i="3"/>
  <c r="F284" i="3"/>
  <c r="F283" i="3"/>
  <c r="F282" i="3"/>
  <c r="F281" i="3"/>
  <c r="F280" i="3"/>
  <c r="F279" i="3"/>
  <c r="F278" i="3"/>
  <c r="F277" i="3"/>
  <c r="F276" i="3"/>
  <c r="F275" i="3"/>
  <c r="F272" i="3"/>
  <c r="F271" i="3"/>
  <c r="F270" i="3"/>
  <c r="F269" i="3"/>
  <c r="F268" i="3"/>
  <c r="F267" i="3"/>
  <c r="F266" i="3"/>
  <c r="F265" i="3"/>
  <c r="F264" i="3"/>
  <c r="F263" i="3"/>
  <c r="F262" i="3"/>
  <c r="F261" i="3"/>
  <c r="F260" i="3"/>
  <c r="F259" i="3"/>
  <c r="F258" i="3"/>
  <c r="F257" i="3"/>
  <c r="F254" i="3"/>
  <c r="F253" i="3"/>
  <c r="F252" i="3"/>
  <c r="F251" i="3"/>
  <c r="F250" i="3"/>
  <c r="F249" i="3"/>
  <c r="F248" i="3"/>
  <c r="F247" i="3"/>
  <c r="F246" i="3"/>
  <c r="F245" i="3"/>
  <c r="F244" i="3"/>
  <c r="F243" i="3"/>
  <c r="F242" i="3"/>
  <c r="F241" i="3"/>
  <c r="F240" i="3"/>
  <c r="F239" i="3"/>
  <c r="F236" i="3"/>
  <c r="F235" i="3"/>
  <c r="F234" i="3"/>
  <c r="F233" i="3"/>
  <c r="F232" i="3"/>
  <c r="F231" i="3"/>
  <c r="F230" i="3"/>
  <c r="F229" i="3"/>
  <c r="F228" i="3"/>
  <c r="F227" i="3"/>
  <c r="F226" i="3"/>
  <c r="F225" i="3"/>
  <c r="F224" i="3"/>
  <c r="F223" i="3"/>
  <c r="F222" i="3"/>
  <c r="F221" i="3"/>
  <c r="F218" i="3"/>
  <c r="F217" i="3"/>
  <c r="F216" i="3"/>
  <c r="F215" i="3"/>
  <c r="F214" i="3"/>
  <c r="F213" i="3"/>
  <c r="F212" i="3"/>
  <c r="F211" i="3"/>
  <c r="F210" i="3"/>
  <c r="F209" i="3"/>
  <c r="F208" i="3"/>
  <c r="F207" i="3"/>
  <c r="F206" i="3"/>
  <c r="F205" i="3"/>
  <c r="F204" i="3"/>
  <c r="F203" i="3"/>
  <c r="F200" i="3"/>
  <c r="F199" i="3"/>
  <c r="F198" i="3"/>
  <c r="F197" i="3"/>
  <c r="F196" i="3"/>
  <c r="F195" i="3"/>
  <c r="F194" i="3"/>
  <c r="F193" i="3"/>
  <c r="F192" i="3"/>
  <c r="F189" i="3"/>
  <c r="F188" i="3"/>
  <c r="F187" i="3"/>
  <c r="F186" i="3"/>
  <c r="F185" i="3"/>
  <c r="F184" i="3"/>
  <c r="F183" i="3"/>
  <c r="F182" i="3"/>
  <c r="F181" i="3"/>
  <c r="F178" i="3"/>
  <c r="F177" i="3"/>
  <c r="F176" i="3"/>
  <c r="F175" i="3"/>
  <c r="F174" i="3"/>
  <c r="F173" i="3"/>
  <c r="F172" i="3"/>
  <c r="F171" i="3"/>
  <c r="F170" i="3"/>
  <c r="F167" i="3"/>
  <c r="F166" i="3"/>
  <c r="F165" i="3"/>
  <c r="F164" i="3"/>
  <c r="F163" i="3"/>
  <c r="F162" i="3"/>
  <c r="F161" i="3"/>
  <c r="F160" i="3"/>
  <c r="F159" i="3"/>
  <c r="F158" i="3"/>
  <c r="F155" i="3"/>
  <c r="F154" i="3"/>
  <c r="F153" i="3"/>
  <c r="F152" i="3"/>
  <c r="F151" i="3"/>
  <c r="F150" i="3"/>
  <c r="F149" i="3"/>
  <c r="F148" i="3"/>
  <c r="F147" i="3"/>
  <c r="F146" i="3"/>
  <c r="F143" i="3"/>
  <c r="F142" i="3"/>
  <c r="F141" i="3"/>
  <c r="F140" i="3"/>
  <c r="F139" i="3"/>
  <c r="F138" i="3"/>
  <c r="F137" i="3"/>
  <c r="F136" i="3"/>
  <c r="F135" i="3"/>
  <c r="F134" i="3"/>
  <c r="F131" i="3"/>
  <c r="F130" i="3"/>
  <c r="F129" i="3"/>
  <c r="F128" i="3"/>
  <c r="F127" i="3"/>
  <c r="F126" i="3"/>
  <c r="F125" i="3"/>
  <c r="F124" i="3"/>
  <c r="F123" i="3"/>
  <c r="F122" i="3"/>
  <c r="F121" i="3"/>
  <c r="F118" i="3"/>
  <c r="F117" i="3"/>
  <c r="F116" i="3"/>
  <c r="F115" i="3"/>
  <c r="F114" i="3"/>
  <c r="F113" i="3"/>
  <c r="F112" i="3"/>
  <c r="F111" i="3"/>
  <c r="F110" i="3"/>
  <c r="F109" i="3"/>
  <c r="F108" i="3"/>
  <c r="F107" i="3"/>
  <c r="F104" i="3"/>
  <c r="F103" i="3"/>
  <c r="F102" i="3"/>
  <c r="F101" i="3"/>
  <c r="F100" i="3"/>
  <c r="F99" i="3"/>
  <c r="F98" i="3"/>
  <c r="F97" i="3"/>
  <c r="F96" i="3"/>
  <c r="F95" i="3"/>
  <c r="F94" i="3"/>
  <c r="F93" i="3"/>
  <c r="F92" i="3"/>
  <c r="F91" i="3"/>
  <c r="F90" i="3"/>
  <c r="F89" i="3"/>
  <c r="F86" i="3"/>
  <c r="F85" i="3"/>
  <c r="F84" i="3"/>
  <c r="F83" i="3"/>
  <c r="F81" i="3"/>
  <c r="F80" i="3"/>
  <c r="F79" i="3"/>
  <c r="F77" i="3"/>
  <c r="F75" i="3"/>
  <c r="F73" i="3"/>
  <c r="F71" i="3"/>
  <c r="F68" i="3"/>
  <c r="F65" i="3"/>
  <c r="F58" i="3"/>
  <c r="F57" i="3"/>
  <c r="F56" i="3"/>
  <c r="F55" i="3"/>
  <c r="F53" i="3"/>
  <c r="F51" i="3"/>
  <c r="F50" i="3"/>
  <c r="F49" i="3"/>
  <c r="F48" i="3"/>
  <c r="F45" i="3"/>
  <c r="F43" i="3"/>
  <c r="F41" i="3"/>
  <c r="F40" i="3"/>
  <c r="F38" i="3"/>
  <c r="F36" i="3"/>
  <c r="F33" i="3"/>
  <c r="F32" i="3"/>
  <c r="F24" i="3"/>
  <c r="F1258" i="3" s="1"/>
  <c r="F20" i="3"/>
  <c r="F19" i="3"/>
  <c r="F18" i="3"/>
  <c r="F17" i="3"/>
  <c r="AW27" i="77" s="1"/>
  <c r="F13" i="3"/>
  <c r="F16" i="3" s="1"/>
  <c r="F12" i="3"/>
  <c r="F11" i="3"/>
  <c r="F9" i="3"/>
  <c r="F7" i="3"/>
  <c r="D18" i="75"/>
  <c r="C18" i="75" s="1"/>
  <c r="B18" i="75" s="1"/>
  <c r="E35" i="1"/>
  <c r="D35" i="1"/>
  <c r="B35" i="1"/>
  <c r="E34" i="1"/>
  <c r="D34" i="1"/>
  <c r="B34" i="1"/>
  <c r="E33" i="1"/>
  <c r="D33" i="1"/>
  <c r="B33" i="1"/>
  <c r="E32" i="1"/>
  <c r="D32" i="1"/>
  <c r="B32" i="1"/>
  <c r="E31" i="1"/>
  <c r="D31" i="1"/>
  <c r="B31" i="1"/>
  <c r="E30" i="1"/>
  <c r="D30" i="1"/>
  <c r="B30" i="1"/>
  <c r="E29" i="1"/>
  <c r="E28" i="1"/>
  <c r="E27" i="1"/>
  <c r="E26" i="1"/>
  <c r="E25" i="1"/>
  <c r="E24" i="1"/>
  <c r="E23" i="1"/>
  <c r="E22" i="1"/>
  <c r="E21" i="1"/>
  <c r="E20" i="1"/>
  <c r="F19" i="1"/>
  <c r="E19" i="1"/>
  <c r="D19" i="1"/>
  <c r="B19" i="1"/>
  <c r="E18" i="1"/>
  <c r="E17" i="1"/>
  <c r="E16" i="1"/>
  <c r="D16" i="1"/>
  <c r="B16" i="1"/>
  <c r="E15" i="1"/>
  <c r="E14" i="1"/>
  <c r="D14" i="1"/>
  <c r="E13" i="1"/>
  <c r="D13" i="1"/>
  <c r="B13" i="1"/>
  <c r="E12" i="1"/>
  <c r="O2" i="1"/>
  <c r="N2" i="1"/>
  <c r="M2" i="1"/>
  <c r="L2" i="1"/>
  <c r="K2" i="1"/>
  <c r="J2" i="1"/>
  <c r="I2" i="1"/>
  <c r="H2" i="1"/>
  <c r="G2" i="1"/>
  <c r="AN4" i="86" l="1"/>
  <c r="AN5" i="86"/>
  <c r="AN7" i="86"/>
  <c r="F23" i="1"/>
  <c r="D23" i="1" s="1"/>
  <c r="B23" i="1" s="1"/>
  <c r="F24" i="1"/>
  <c r="D24" i="1" s="1"/>
  <c r="B24" i="1" s="1"/>
  <c r="F62" i="3"/>
  <c r="AM7" i="85"/>
  <c r="F17" i="1"/>
  <c r="D17" i="1" s="1"/>
  <c r="B17" i="1" s="1"/>
  <c r="F18" i="1"/>
  <c r="D18" i="1" s="1"/>
  <c r="B18" i="1" s="1"/>
  <c r="AN13" i="86"/>
  <c r="A20" i="79"/>
  <c r="F21" i="1"/>
  <c r="D21" i="1" s="1"/>
  <c r="B21" i="1" s="1"/>
  <c r="AM4" i="85"/>
  <c r="F29" i="79"/>
  <c r="F22" i="1"/>
  <c r="D22" i="1" s="1"/>
  <c r="B22" i="1" s="1"/>
  <c r="AX27" i="77"/>
  <c r="F15" i="1"/>
  <c r="D15" i="1" s="1"/>
  <c r="B15" i="1" s="1"/>
  <c r="AY27" i="77"/>
  <c r="H18" i="75"/>
  <c r="G18" i="75"/>
  <c r="F18" i="75"/>
  <c r="E18" i="75"/>
  <c r="F25" i="3"/>
  <c r="F1198" i="3"/>
  <c r="F29" i="3"/>
  <c r="F1201" i="3"/>
  <c r="F30" i="3"/>
  <c r="F1204" i="3"/>
  <c r="E18" i="77"/>
  <c r="F14" i="3"/>
  <c r="E19" i="77"/>
  <c r="AM6" i="85"/>
  <c r="F25" i="1"/>
  <c r="D25" i="1" s="1"/>
  <c r="B25" i="1" s="1"/>
  <c r="F15" i="3"/>
  <c r="F1254" i="3"/>
  <c r="E20" i="77"/>
  <c r="F1255" i="3"/>
  <c r="E27" i="77"/>
  <c r="F63" i="3"/>
  <c r="F1205" i="3"/>
  <c r="F1256" i="3"/>
  <c r="F1303" i="3"/>
  <c r="F27" i="3"/>
  <c r="F1241" i="3"/>
  <c r="F1208" i="3"/>
  <c r="F1243" i="3"/>
  <c r="F1244" i="3"/>
  <c r="AM5" i="85"/>
  <c r="F60" i="3"/>
  <c r="F26" i="3"/>
  <c r="F28" i="3"/>
  <c r="F1240" i="3"/>
  <c r="F1206" i="3"/>
  <c r="F1242" i="3"/>
  <c r="F1257" i="3"/>
  <c r="AV27" i="77"/>
  <c r="AU27" i="77" s="1"/>
  <c r="F20" i="1"/>
  <c r="D20" i="1" s="1"/>
  <c r="B20" i="1" s="1"/>
  <c r="F26" i="1"/>
  <c r="D26" i="1" s="1"/>
  <c r="B26" i="1" s="1"/>
  <c r="F29" i="1" l="1"/>
  <c r="F28" i="1" s="1"/>
  <c r="D28" i="1" s="1"/>
  <c r="B28" i="1" s="1"/>
  <c r="R13" i="70"/>
  <c r="J17" i="74"/>
  <c r="N29" i="79"/>
  <c r="J17" i="73"/>
  <c r="O13" i="69"/>
  <c r="F1332" i="3"/>
  <c r="F1317" i="3"/>
  <c r="F1315" i="3"/>
  <c r="F1314" i="3"/>
  <c r="F1331" i="3"/>
  <c r="F1316" i="3"/>
  <c r="F1330" i="3"/>
  <c r="F1329" i="3"/>
  <c r="F1328" i="3"/>
  <c r="F1313" i="3"/>
  <c r="H13" i="69"/>
  <c r="M18" i="73"/>
  <c r="O27" i="79"/>
  <c r="J27" i="79"/>
  <c r="J18" i="74"/>
  <c r="O13" i="70"/>
  <c r="O18" i="73"/>
  <c r="O18" i="74"/>
  <c r="M18" i="74"/>
  <c r="M13" i="70"/>
  <c r="J13" i="70"/>
  <c r="M13" i="69"/>
  <c r="K13" i="69"/>
  <c r="J18" i="73"/>
  <c r="M27" i="79"/>
  <c r="F1249" i="3"/>
  <c r="F1262" i="3"/>
  <c r="F1261" i="3"/>
  <c r="F1247" i="3"/>
  <c r="F1265" i="3"/>
  <c r="F1263" i="3"/>
  <c r="F1248" i="3"/>
  <c r="F1264" i="3"/>
  <c r="F1251" i="3"/>
  <c r="F1250" i="3"/>
  <c r="C6" i="84"/>
  <c r="C6" i="73"/>
  <c r="A6" i="69"/>
  <c r="C6" i="72"/>
  <c r="B5" i="70"/>
  <c r="AI133" i="78"/>
  <c r="C6" i="74"/>
  <c r="A10" i="79"/>
  <c r="F1281" i="3"/>
  <c r="F1280" i="3"/>
  <c r="F1291" i="3"/>
  <c r="F1290" i="3"/>
  <c r="F1289" i="3"/>
  <c r="F1279" i="3"/>
  <c r="D6" i="70"/>
  <c r="C7" i="84"/>
  <c r="C7" i="72"/>
  <c r="B12" i="79"/>
  <c r="B7" i="69"/>
  <c r="C7" i="73"/>
  <c r="AR135" i="78"/>
  <c r="C7" i="74"/>
  <c r="B4" i="81"/>
  <c r="E38" i="77"/>
  <c r="E36" i="77"/>
  <c r="E34" i="77"/>
  <c r="E40" i="77"/>
  <c r="A1" i="85"/>
  <c r="F1296" i="3"/>
  <c r="F1286" i="3"/>
  <c r="F1284" i="3"/>
  <c r="F1295" i="3"/>
  <c r="F1285" i="3"/>
  <c r="F1294" i="3"/>
  <c r="F27" i="1" l="1"/>
  <c r="D27" i="1" s="1"/>
  <c r="B27" i="1" s="1"/>
  <c r="F12" i="1"/>
  <c r="D12" i="1" s="1"/>
  <c r="B12" i="1" s="1"/>
  <c r="D29" i="1"/>
  <c r="B29" i="1" s="1"/>
</calcChain>
</file>

<file path=xl/comments1.xml><?xml version="1.0" encoding="utf-8"?>
<comments xmlns="http://schemas.openxmlformats.org/spreadsheetml/2006/main">
  <authors>
    <author>t-hori</author>
  </authors>
  <commentList>
    <comment ref="R62" authorId="0" shapeId="0">
      <text>
        <r>
          <rPr>
            <b/>
            <sz val="9"/>
            <color indexed="81"/>
            <rFont val="ＭＳ Ｐゴシック"/>
            <family val="3"/>
            <charset val="128"/>
          </rPr>
          <t>左側のプルダウンを選択すると
自動的に区分内容が表示されます</t>
        </r>
      </text>
    </comment>
    <comment ref="R113" authorId="0" shapeId="0">
      <text>
        <r>
          <rPr>
            <b/>
            <sz val="9"/>
            <color indexed="81"/>
            <rFont val="ＭＳ Ｐゴシック"/>
            <family val="3"/>
            <charset val="128"/>
          </rPr>
          <t>左側のプルダウンを選択すると
自動的に区分内容が表示されます</t>
        </r>
      </text>
    </comment>
  </commentList>
</comments>
</file>

<file path=xl/sharedStrings.xml><?xml version="1.0" encoding="utf-8"?>
<sst xmlns="http://schemas.openxmlformats.org/spreadsheetml/2006/main" count="5187" uniqueCount="3293">
  <si>
    <t>記</t>
  </si>
  <si>
    <t>月</t>
  </si>
  <si>
    <t>その他</t>
  </si>
  <si>
    <t>（</t>
  </si>
  <si>
    <t>）</t>
  </si>
  <si>
    <t>第四十号様式（第八条関係）（Ａ４）</t>
  </si>
  <si>
    <t>建築基準法第15条第1項の規定による</t>
  </si>
  <si>
    <t>建 築 工 事 届</t>
  </si>
  <si>
    <t>（第一面）</t>
  </si>
  <si>
    <t>知事　様</t>
  </si>
  <si>
    <t>建築主</t>
  </si>
  <si>
    <t>氏名</t>
  </si>
  <si>
    <t>郵便番号</t>
  </si>
  <si>
    <t>住所</t>
  </si>
  <si>
    <t>電話番号</t>
  </si>
  <si>
    <t>工事施工者（設計者又は代理者）</t>
  </si>
  <si>
    <t>営業所名（建築士事務所名）</t>
  </si>
  <si>
    <t>所在地</t>
  </si>
  <si>
    <t>工事監理者</t>
  </si>
  <si>
    <t>建築確認</t>
  </si>
  <si>
    <t>確認済証番号</t>
  </si>
  <si>
    <t>確認済証交付年月日</t>
  </si>
  <si>
    <t>確認済証交付者</t>
  </si>
  <si>
    <t>除却工事施工者</t>
  </si>
  <si>
    <t>営業所名</t>
  </si>
  <si>
    <t>※受付経由機関記載欄</t>
  </si>
  <si>
    <t>（第二面）</t>
  </si>
  <si>
    <t>(1) 国</t>
  </si>
  <si>
    <t>(2) 都道府県</t>
  </si>
  <si>
    <t>(3) 市区町村</t>
  </si>
  <si>
    <t>(4) 会社</t>
  </si>
  <si>
    <t>(5) 会社でない団体</t>
  </si>
  <si>
    <t>(6) 個人</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</si>
  <si>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</si>
  <si>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</si>
  <si>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</si>
  <si>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</si>
  <si>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</si>
  <si>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</si>
  <si>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</si>
  <si>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</si>
  <si>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</si>
  <si>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</si>
  <si>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</si>
  <si>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</si>
  <si>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</si>
  <si>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</si>
  <si>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</si>
  <si>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</si>
  <si>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</si>
  <si>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</si>
  <si>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</si>
  <si>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</si>
  <si>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(1)</t>
  </si>
  <si>
    <t>事務所等</t>
  </si>
  <si>
    <t>(2)</t>
  </si>
  <si>
    <t>物品販売業を営</t>
  </si>
  <si>
    <t>む店舗等</t>
  </si>
  <si>
    <t>(3)</t>
  </si>
  <si>
    <t>工場、作業場</t>
  </si>
  <si>
    <t>(4)</t>
  </si>
  <si>
    <t>倉庫</t>
  </si>
  <si>
    <t>(5)</t>
  </si>
  <si>
    <t>学校</t>
  </si>
  <si>
    <t>(6)</t>
  </si>
  <si>
    <t>病院、診療所</t>
  </si>
  <si>
    <t>(9)</t>
  </si>
  <si>
    <t>【ハ.工事部分の構造】</t>
  </si>
  <si>
    <t>木造</t>
  </si>
  <si>
    <t>鉄骨鉄筋コンク</t>
  </si>
  <si>
    <t>リート造</t>
  </si>
  <si>
    <t>鉄筋コンクリー</t>
  </si>
  <si>
    <t>ト造</t>
  </si>
  <si>
    <t>鉄骨造</t>
  </si>
  <si>
    <t>コンクリートブ</t>
  </si>
  <si>
    <t>ロック造</t>
  </si>
  <si>
    <t>　床面積の合計】</t>
  </si>
  <si>
    <t>万円)</t>
  </si>
  <si>
    <t>【７．新築工事の場合における敷地面積】</t>
  </si>
  <si>
    <t>（第三面）</t>
  </si>
  <si>
    <t>【1.住宅部分の概要】</t>
  </si>
  <si>
    <t>(1) 在来工法</t>
  </si>
  <si>
    <t>(2) プレハブ工法</t>
  </si>
  <si>
    <t>(3) 枠組壁工法</t>
  </si>
  <si>
    <t>(1) 専用住宅</t>
  </si>
  <si>
    <t>(1)一戸建住宅</t>
  </si>
  <si>
    <t>(2)長屋建住宅</t>
  </si>
  <si>
    <t>(2) 併用住宅</t>
  </si>
  <si>
    <t>(3) その他の住宅</t>
  </si>
  <si>
    <t>(1)持家</t>
  </si>
  <si>
    <t xml:space="preserve">)( </t>
  </si>
  <si>
    <t>(2)貸家</t>
  </si>
  <si>
    <t>(3)給与住宅</t>
  </si>
  <si>
    <t>(4)分譲住宅</t>
  </si>
  <si>
    <t xml:space="preserve"> 床面積の合計】</t>
  </si>
  <si>
    <t>（第四面）</t>
  </si>
  <si>
    <t>【1.主要用途】</t>
  </si>
  <si>
    <t>(1) 老朽して危険があるため</t>
  </si>
  <si>
    <t>(2) その他</t>
  </si>
  <si>
    <t>(1) 木造</t>
  </si>
  <si>
    <t>【4.建築物の数】</t>
  </si>
  <si>
    <t>【5.住宅の戸数】</t>
  </si>
  <si>
    <t>戸</t>
  </si>
  <si>
    <t>【6.住宅の利用関係】</t>
  </si>
  <si>
    <t>(1) 持家</t>
  </si>
  <si>
    <t>(2) 貸家</t>
  </si>
  <si>
    <t>(3) 給与住宅</t>
  </si>
  <si>
    <t>【7.建築物の床面積の合計】</t>
  </si>
  <si>
    <t>㎡</t>
  </si>
  <si>
    <t>【8.建築物の評価額】</t>
  </si>
  <si>
    <t>千円</t>
  </si>
  <si>
    <t>出力シート名</t>
  </si>
  <si>
    <t>**_output_sheetname</t>
  </si>
  <si>
    <t>cst__output_sheetname</t>
  </si>
  <si>
    <t>タイトル</t>
  </si>
  <si>
    <t>**_output_title</t>
  </si>
  <si>
    <t>cst__output_title</t>
  </si>
  <si>
    <t>建築工事届</t>
  </si>
  <si>
    <t>第三面</t>
  </si>
  <si>
    <t>役職</t>
  </si>
  <si>
    <t>会社名</t>
  </si>
  <si>
    <t>事務所 資格</t>
  </si>
  <si>
    <t>事務所名</t>
  </si>
  <si>
    <t>主要用途</t>
  </si>
  <si>
    <t>フリガナ</t>
  </si>
  <si>
    <t>引受番号</t>
  </si>
  <si>
    <t>引受日</t>
  </si>
  <si>
    <t>確認済証交付日</t>
  </si>
  <si>
    <t>代理者</t>
  </si>
  <si>
    <t>施工者</t>
  </si>
  <si>
    <t>備考（建築物名称）</t>
  </si>
  <si>
    <t>第四面</t>
  </si>
  <si>
    <t>内外の別</t>
  </si>
  <si>
    <t>工事種別</t>
  </si>
  <si>
    <t>階数－地上</t>
  </si>
  <si>
    <t>階数－地下</t>
  </si>
  <si>
    <t>構造</t>
  </si>
  <si>
    <t>構造の一部</t>
  </si>
  <si>
    <t>高さ－最高の高さ</t>
  </si>
  <si>
    <t>高さ－最高の軒の高さ</t>
  </si>
  <si>
    <t>一戸建ての住宅</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</si>
  <si>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</si>
  <si>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</si>
  <si>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</si>
  <si>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</si>
  <si>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</si>
  <si>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</si>
  <si>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</si>
  <si>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</si>
  <si>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</si>
  <si>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</si>
  <si>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</si>
  <si>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</si>
  <si>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</si>
  <si>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</si>
  <si>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</si>
  <si>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</si>
  <si>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</si>
  <si>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</si>
  <si>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</si>
  <si>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</si>
  <si>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</si>
  <si>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</si>
  <si>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</si>
  <si>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</si>
  <si>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</si>
  <si>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</si>
  <si>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</si>
  <si>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</si>
  <si>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</si>
  <si>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</si>
  <si>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</si>
  <si>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</si>
  <si>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</si>
  <si>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</si>
  <si>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</si>
  <si>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</si>
  <si>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</si>
  <si>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</si>
  <si>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</si>
  <si>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</si>
  <si>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</si>
  <si>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</si>
  <si>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</si>
  <si>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</si>
  <si>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</si>
  <si>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</si>
  <si>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</si>
  <si>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</si>
  <si>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</si>
  <si>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</si>
  <si>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</si>
  <si>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</si>
  <si>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</si>
  <si>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</si>
  <si>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</si>
  <si>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</si>
  <si>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</si>
  <si>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</si>
  <si>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</si>
  <si>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</si>
  <si>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</si>
  <si>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</si>
  <si>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</si>
  <si>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</si>
  <si>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</si>
  <si>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</si>
  <si>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</si>
  <si>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</si>
  <si>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</si>
  <si>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</si>
  <si>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</si>
  <si>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</si>
  <si>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</si>
  <si>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</si>
  <si>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</si>
  <si>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</si>
  <si>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</si>
  <si>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</si>
  <si>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</si>
  <si>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</si>
  <si>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</si>
  <si>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</si>
  <si>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</si>
  <si>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</si>
  <si>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</si>
  <si>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</si>
  <si>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</si>
  <si>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</si>
  <si>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</si>
  <si>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</si>
  <si>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</si>
  <si>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</si>
  <si>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</si>
  <si>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</si>
  <si>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</si>
  <si>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</si>
  <si>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</si>
  <si>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</si>
  <si>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</si>
  <si>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</si>
  <si>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</si>
  <si>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</si>
  <si>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</si>
  <si>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</si>
  <si>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</si>
  <si>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</si>
  <si>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</si>
  <si>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</si>
  <si>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</si>
  <si>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</si>
  <si>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</si>
  <si>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</si>
  <si>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</si>
  <si>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</si>
  <si>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</si>
  <si>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</si>
  <si>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</si>
  <si>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</si>
  <si>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</si>
  <si>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</si>
  <si>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</si>
  <si>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</si>
  <si>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</si>
  <si>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</si>
  <si>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</si>
  <si>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</si>
  <si>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</si>
  <si>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</si>
  <si>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</si>
  <si>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</si>
  <si>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</si>
  <si>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</si>
  <si>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</si>
  <si>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</si>
  <si>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</si>
  <si>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</si>
  <si>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</si>
  <si>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</si>
  <si>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</si>
  <si>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</si>
  <si>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</si>
  <si>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</si>
  <si>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</si>
  <si>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</si>
  <si>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</si>
  <si>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</si>
  <si>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</si>
  <si>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</si>
  <si>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</si>
  <si>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</si>
  <si>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</si>
  <si>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</si>
  <si>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</si>
  <si>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</si>
  <si>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</si>
  <si>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</si>
  <si>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</si>
  <si>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</si>
  <si>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</si>
  <si>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</si>
  <si>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</si>
  <si>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</si>
  <si>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</si>
  <si>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</si>
  <si>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</si>
  <si>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</si>
  <si>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</si>
  <si>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</si>
  <si>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</si>
  <si>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</si>
  <si>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</si>
  <si>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</si>
  <si>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</si>
  <si>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</si>
  <si>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</si>
  <si>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</si>
  <si>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</si>
  <si>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</si>
  <si>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</si>
  <si>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</si>
  <si>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</si>
  <si>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</si>
  <si>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</si>
  <si>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</si>
  <si>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</si>
  <si>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</si>
  <si>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</si>
  <si>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</si>
  <si>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</si>
  <si>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</si>
  <si>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</si>
  <si>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</si>
  <si>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</si>
  <si>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</si>
  <si>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</si>
  <si>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</si>
  <si>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</si>
  <si>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</si>
  <si>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</si>
  <si>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</si>
  <si>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</si>
  <si>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</si>
  <si>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</si>
  <si>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</si>
  <si>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</si>
  <si>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</si>
  <si>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</si>
  <si>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</si>
  <si>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</si>
  <si>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</si>
  <si>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</si>
  <si>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</si>
  <si>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</si>
  <si>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</si>
  <si>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</si>
  <si>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</si>
  <si>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</si>
  <si>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</si>
  <si>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</si>
  <si>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</si>
  <si>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</si>
  <si>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</si>
  <si>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</si>
  <si>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</si>
  <si>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</si>
  <si>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</si>
  <si>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</si>
  <si>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</si>
  <si>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</si>
  <si>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</si>
  <si>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</si>
  <si>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</si>
  <si>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</si>
  <si>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</si>
  <si>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</si>
  <si>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</si>
  <si>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</si>
  <si>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</si>
  <si>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</si>
  <si>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</si>
  <si>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</si>
  <si>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</si>
  <si>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</si>
  <si>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</si>
  <si>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</si>
  <si>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</si>
  <si>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</si>
  <si>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</si>
  <si>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</si>
  <si>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</si>
  <si>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</si>
  <si>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</si>
  <si>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</si>
  <si>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</si>
  <si>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</si>
  <si>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</si>
  <si>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</si>
  <si>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</si>
  <si>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</si>
  <si>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</si>
  <si>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</si>
  <si>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</si>
  <si>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</si>
  <si>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</si>
  <si>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</si>
  <si>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</si>
  <si>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</si>
  <si>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</si>
  <si>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</si>
  <si>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</si>
  <si>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</si>
  <si>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</si>
  <si>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</si>
  <si>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</si>
  <si>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</si>
  <si>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</si>
  <si>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</si>
  <si>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</si>
  <si>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</si>
  <si>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</si>
  <si>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</si>
  <si>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</si>
  <si>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</si>
  <si>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</si>
  <si>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</si>
  <si>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</si>
  <si>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</si>
  <si>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</si>
  <si>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</si>
  <si>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</si>
  <si>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</si>
  <si>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</si>
  <si>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</si>
  <si>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</si>
  <si>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</si>
  <si>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</si>
  <si>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</si>
  <si>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</si>
  <si>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</si>
  <si>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</si>
  <si>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</si>
  <si>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</si>
  <si>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</si>
  <si>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</si>
  <si>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</si>
  <si>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</si>
  <si>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</si>
  <si>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</si>
  <si>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</si>
  <si>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</si>
  <si>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</si>
  <si>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</si>
  <si>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</si>
  <si>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</si>
  <si>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</si>
  <si>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</si>
  <si>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</si>
  <si>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</si>
  <si>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新築</t>
  </si>
  <si>
    <t>増築</t>
  </si>
  <si>
    <t>改築</t>
  </si>
  <si>
    <t>移転</t>
  </si>
  <si>
    <t>説明</t>
  </si>
  <si>
    <t>年</t>
  </si>
  <si>
    <t>日</t>
  </si>
  <si>
    <t>号</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</si>
  <si>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</si>
  <si>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</si>
  <si>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</si>
  <si>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</si>
  <si>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</si>
  <si>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</si>
  <si>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</si>
  <si>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</si>
  <si>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</si>
  <si>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</si>
  <si>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</si>
  <si>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</si>
  <si>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</si>
  <si>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</si>
  <si>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</si>
  <si>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シート名
※重複不可</t>
  </si>
  <si>
    <t>※最後にNoObjectを記述</t>
  </si>
  <si>
    <t>備考</t>
  </si>
  <si>
    <t>showsheetflag_****
  1=表示
  0=削除
 -1=非表示
 -2=シート非表示（再表示不可）</t>
  </si>
  <si>
    <t>dSHEET</t>
  </si>
  <si>
    <t>DATA</t>
  </si>
  <si>
    <t>項目リスト</t>
  </si>
  <si>
    <t>NoObject</t>
  </si>
  <si>
    <t>※このシートをアクティブにして保存すること</t>
  </si>
  <si>
    <t xml:space="preserve"> </t>
  </si>
  <si>
    <t>申請者名</t>
  </si>
  <si>
    <t>申請者</t>
  </si>
  <si>
    <t>cst_wskakunin_APPLICANT_NAME</t>
  </si>
  <si>
    <t>直前の確認申請情報</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</si>
  <si>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</si>
  <si>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</si>
  <si>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</si>
  <si>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</si>
  <si>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</si>
  <si>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</si>
  <si>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</si>
  <si>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</si>
  <si>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</si>
  <si>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t>
  </si>
  <si>
    <t>ルート１</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</si>
  <si>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</si>
  <si>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</si>
  <si>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</si>
  <si>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</si>
  <si>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</si>
  <si>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</si>
  <si>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</si>
  <si>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</si>
  <si>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</si>
  <si>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</si>
  <si>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</si>
  <si>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</si>
  <si>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</si>
  <si>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</si>
  <si>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</si>
  <si>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</si>
  <si>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</si>
  <si>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</si>
  <si>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</si>
  <si>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</si>
  <si>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</si>
  <si>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</si>
  <si>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</si>
  <si>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</si>
  <si>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</si>
  <si>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</si>
  <si>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</si>
  <si>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</si>
  <si>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</si>
  <si>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</si>
  <si>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</si>
  <si>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</si>
  <si>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</si>
  <si>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</si>
  <si>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</si>
  <si>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</si>
  <si>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</si>
  <si>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</si>
  <si>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</si>
  <si>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</si>
  <si>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</si>
  <si>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</si>
  <si>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</si>
  <si>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</si>
  <si>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</si>
  <si>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</si>
  <si>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</si>
  <si>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</si>
  <si>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</si>
  <si>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</si>
  <si>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</si>
  <si>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</si>
  <si>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</si>
  <si>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</si>
  <si>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</si>
  <si>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</si>
  <si>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</si>
  <si>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</si>
  <si>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</si>
  <si>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</si>
  <si>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</si>
  <si>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</si>
  <si>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</si>
  <si>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</si>
  <si>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</si>
  <si>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</si>
  <si>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</si>
  <si>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</si>
  <si>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</si>
  <si>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</si>
  <si>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</si>
  <si>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</si>
  <si>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</si>
  <si>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</si>
  <si>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</si>
  <si>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</si>
  <si>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</si>
  <si>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</si>
  <si>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</si>
  <si>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</si>
  <si>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</si>
  <si>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</si>
  <si>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</si>
  <si>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</si>
  <si>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</si>
  <si>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</si>
  <si>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</si>
  <si>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</si>
  <si>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</si>
  <si>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</si>
  <si>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</si>
  <si>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</si>
  <si>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</si>
  <si>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</si>
  <si>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</si>
  <si>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</si>
  <si>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</si>
  <si>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</si>
  <si>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</si>
  <si>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</si>
  <si>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</si>
  <si>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</si>
  <si>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</si>
  <si>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</si>
  <si>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</si>
  <si>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</si>
  <si>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</si>
  <si>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</si>
  <si>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</si>
  <si>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</si>
  <si>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</si>
  <si>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</si>
  <si>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</si>
  <si>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</si>
  <si>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</si>
  <si>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</si>
  <si>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</si>
  <si>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</si>
  <si>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</si>
  <si>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</si>
  <si>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</si>
  <si>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</si>
  <si>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</si>
  <si>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</si>
  <si>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</si>
  <si>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</si>
  <si>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</si>
  <si>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</si>
  <si>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シート保護　解除パスワード</t>
  </si>
  <si>
    <t>cst_wskakunin_koutei02_KOUTEI_KAISUU</t>
  </si>
  <si>
    <t>cst_wskakunin_koutei02_KOUTEI_DATE</t>
  </si>
  <si>
    <t>cst_wskakunin_koutei02_KOUTEI_TEXT</t>
  </si>
  <si>
    <t>委任状</t>
  </si>
  <si>
    <t>【ﾊ.郵便番号】</t>
  </si>
  <si>
    <t>【4.建築設備の設計に関し意見を聴いた者】</t>
  </si>
  <si>
    <t>【ﾎ.電話番号】</t>
  </si>
  <si>
    <t>【ﾍ.登録番号】</t>
  </si>
  <si>
    <t>【ﾄ.意見を聴いた設計図書】</t>
  </si>
  <si>
    <t>【ｲ.特定工程】</t>
  </si>
  <si>
    <t>工事監理の状況</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</si>
  <si>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</si>
  <si>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</si>
  <si>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</si>
  <si>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</si>
  <si>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</si>
  <si>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</si>
  <si>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</si>
  <si>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</si>
  <si>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</si>
  <si>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</si>
  <si>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</si>
  <si>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</si>
  <si>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</si>
  <si>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</si>
  <si>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</si>
  <si>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</si>
  <si>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</si>
  <si>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</si>
  <si>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</si>
  <si>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</si>
  <si>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</si>
  <si>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</si>
  <si>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</si>
  <si>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</si>
  <si>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</si>
  <si>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</si>
  <si>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</si>
  <si>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</si>
  <si>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</si>
  <si>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</si>
  <si>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</si>
  <si>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</si>
  <si>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</si>
  <si>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</si>
  <si>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</si>
  <si>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</si>
  <si>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</si>
  <si>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</si>
  <si>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</si>
  <si>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</si>
  <si>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</si>
  <si>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</si>
  <si>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</si>
  <si>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</si>
  <si>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</si>
  <si>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</si>
  <si>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</si>
  <si>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</si>
  <si>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</si>
  <si>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</si>
  <si>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</si>
  <si>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</si>
  <si>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</si>
  <si>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</si>
  <si>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</si>
  <si>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</si>
  <si>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</si>
  <si>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</si>
  <si>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</si>
  <si>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</si>
  <si>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</si>
  <si>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</si>
  <si>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</si>
  <si>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</si>
  <si>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</si>
  <si>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</si>
  <si>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</si>
  <si>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</si>
  <si>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</si>
  <si>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</si>
  <si>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</si>
  <si>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</si>
  <si>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</si>
  <si>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</si>
  <si>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</si>
  <si>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</si>
  <si>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</si>
  <si>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</si>
  <si>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</si>
  <si>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</si>
  <si>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</si>
  <si>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</si>
  <si>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</si>
  <si>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</si>
  <si>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</si>
  <si>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</si>
  <si>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</si>
  <si>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</si>
  <si>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</si>
  <si>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</si>
  <si>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</si>
  <si>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</si>
  <si>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</si>
  <si>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</si>
  <si>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</si>
  <si>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</si>
  <si>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</si>
  <si>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</si>
  <si>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</si>
  <si>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</si>
  <si>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</si>
  <si>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</si>
  <si>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</si>
  <si>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</si>
  <si>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</si>
  <si>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</si>
  <si>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</si>
  <si>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</si>
  <si>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</si>
  <si>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</si>
  <si>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</si>
  <si>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</si>
  <si>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</si>
  <si>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</si>
  <si>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</si>
  <si>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</si>
  <si>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</si>
  <si>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</si>
  <si>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</si>
  <si>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</si>
  <si>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</si>
  <si>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</si>
  <si>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</si>
  <si>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</si>
  <si>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</si>
  <si>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</si>
  <si>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</si>
  <si>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</si>
  <si>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</si>
  <si>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</si>
  <si>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</si>
  <si>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</si>
  <si>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</si>
  <si>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</si>
  <si>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</si>
  <si>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</si>
  <si>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</si>
  <si>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</si>
  <si>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</si>
  <si>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</si>
  <si>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</si>
  <si>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</si>
  <si>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</si>
  <si>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</si>
  <si>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</si>
  <si>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</si>
  <si>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</si>
  <si>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</si>
  <si>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</si>
  <si>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</si>
  <si>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</si>
  <si>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</si>
  <si>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</si>
  <si>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</si>
  <si>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</si>
  <si>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</si>
  <si>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</si>
  <si>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</si>
  <si>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</si>
  <si>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</si>
  <si>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</si>
  <si>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</si>
  <si>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</si>
  <si>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</si>
  <si>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</si>
  <si>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</si>
  <si>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</si>
  <si>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</si>
  <si>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</si>
  <si>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</si>
  <si>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</si>
  <si>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</si>
  <si>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</si>
  <si>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</si>
  <si>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</si>
  <si>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</si>
  <si>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</si>
  <si>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</si>
  <si>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</si>
  <si>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</si>
  <si>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</si>
  <si>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</si>
  <si>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</si>
  <si>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</si>
  <si>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</si>
  <si>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</si>
  <si>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</si>
  <si>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</si>
  <si>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</si>
  <si>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</si>
  <si>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</si>
  <si>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</si>
  <si>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</si>
  <si>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</si>
  <si>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</si>
  <si>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</si>
  <si>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</si>
  <si>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</si>
  <si>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</si>
  <si>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</si>
  <si>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</si>
  <si>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</si>
  <si>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</si>
  <si>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</si>
  <si>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</si>
  <si>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</si>
  <si>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</si>
  <si>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</si>
  <si>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</si>
  <si>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</si>
  <si>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</si>
  <si>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</si>
  <si>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</si>
  <si>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</si>
  <si>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</si>
  <si>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</si>
  <si>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</si>
  <si>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</si>
  <si>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</si>
  <si>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</si>
  <si>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</si>
  <si>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</si>
  <si>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</si>
  <si>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</si>
  <si>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</si>
  <si>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</si>
  <si>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</si>
  <si>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</si>
  <si>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</si>
  <si>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</si>
  <si>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</si>
  <si>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</si>
  <si>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</si>
  <si>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</si>
  <si>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</si>
  <si>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</si>
  <si>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</si>
  <si>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</si>
  <si>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</si>
  <si>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</si>
  <si>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</si>
  <si>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</si>
  <si>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</si>
  <si>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</si>
  <si>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</si>
  <si>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</si>
  <si>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</si>
  <si>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</si>
  <si>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</si>
  <si>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</si>
  <si>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</si>
  <si>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</si>
  <si>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</si>
  <si>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</si>
  <si>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</si>
  <si>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</si>
  <si>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</si>
  <si>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</si>
  <si>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</si>
  <si>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</si>
  <si>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</si>
  <si>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</si>
  <si>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</si>
  <si>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</si>
  <si>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</si>
  <si>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</si>
  <si>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</si>
  <si>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</si>
  <si>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</si>
  <si>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</si>
  <si>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</si>
  <si>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</si>
  <si>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</si>
  <si>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</si>
  <si>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</si>
  <si>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</si>
  <si>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</si>
  <si>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</si>
  <si>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</si>
  <si>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</si>
  <si>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</si>
  <si>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</si>
  <si>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</si>
  <si>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</si>
  <si>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</si>
  <si>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</si>
  <si>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</si>
  <si>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</si>
  <si>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</si>
  <si>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</si>
  <si>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</si>
  <si>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</si>
  <si>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</si>
  <si>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</si>
  <si>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</si>
  <si>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</si>
  <si>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</si>
  <si>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</si>
  <si>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</si>
  <si>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</si>
  <si>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</si>
  <si>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</si>
  <si>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</si>
  <si>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</si>
  <si>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</si>
  <si>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</si>
  <si>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</si>
  <si>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</si>
  <si>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</si>
  <si>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</si>
  <si>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</si>
  <si>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</si>
  <si>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</si>
  <si>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</si>
  <si>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</si>
  <si>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</si>
  <si>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</si>
  <si>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</si>
  <si>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</si>
  <si>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</si>
  <si>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</si>
  <si>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</si>
  <si>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</si>
  <si>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</si>
  <si>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</si>
  <si>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</si>
  <si>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</si>
  <si>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</si>
  <si>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</si>
  <si>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</si>
  <si>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</si>
  <si>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</si>
  <si>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</si>
  <si>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</si>
  <si>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</si>
  <si>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</si>
  <si>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</si>
  <si>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</si>
  <si>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</si>
  <si>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</si>
  <si>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</si>
  <si>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</si>
  <si>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</si>
  <si>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</si>
  <si>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</si>
  <si>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</si>
  <si>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</si>
  <si>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</si>
  <si>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</si>
  <si>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</si>
  <si>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</si>
  <si>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</si>
  <si>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</si>
  <si>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</si>
  <si>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</si>
  <si>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</si>
  <si>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</si>
  <si>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</si>
  <si>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</si>
  <si>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</si>
  <si>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</si>
  <si>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</si>
  <si>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</si>
  <si>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</si>
  <si>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</si>
  <si>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</si>
  <si>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</si>
  <si>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</si>
  <si>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</si>
  <si>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</si>
  <si>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</si>
  <si>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</si>
  <si>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</si>
  <si>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</si>
  <si>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</si>
  <si>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</si>
  <si>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</si>
  <si>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</si>
  <si>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</si>
  <si>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</si>
  <si>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</si>
  <si>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</si>
  <si>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</si>
  <si>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</si>
  <si>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</si>
  <si>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</si>
  <si>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</si>
  <si>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</si>
  <si>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</si>
  <si>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</si>
  <si>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</si>
  <si>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</si>
  <si>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</si>
  <si>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</si>
  <si>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</si>
  <si>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</si>
  <si>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</si>
  <si>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</si>
  <si>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</si>
  <si>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</si>
  <si>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</si>
  <si>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</si>
  <si>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</si>
  <si>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</si>
  <si>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</si>
  <si>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</si>
  <si>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</si>
  <si>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</si>
  <si>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</si>
  <si>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</si>
  <si>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</si>
  <si>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</si>
  <si>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</si>
  <si>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</si>
  <si>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</si>
  <si>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</si>
  <si>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</si>
  <si>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</si>
  <si>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</si>
  <si>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</si>
  <si>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</si>
  <si>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</si>
  <si>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</si>
  <si>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</si>
  <si>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</si>
  <si>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</si>
  <si>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</si>
  <si>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</si>
  <si>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</si>
  <si>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</si>
  <si>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</si>
  <si>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</si>
  <si>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</si>
  <si>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</si>
  <si>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</si>
  <si>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</si>
  <si>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</si>
  <si>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</si>
  <si>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</si>
  <si>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</si>
  <si>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</si>
  <si>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</si>
  <si>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</si>
  <si>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</si>
  <si>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</si>
  <si>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</si>
  <si>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</si>
  <si>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</si>
  <si>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</si>
  <si>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</si>
  <si>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</si>
  <si>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</si>
  <si>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</si>
  <si>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</si>
  <si>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</si>
  <si>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</si>
  <si>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</si>
  <si>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</si>
  <si>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</si>
  <si>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</si>
  <si>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</si>
  <si>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</si>
  <si>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</si>
  <si>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</si>
  <si>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</si>
  <si>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</si>
  <si>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</si>
  <si>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</si>
  <si>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</si>
  <si>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</si>
  <si>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</si>
  <si>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</si>
  <si>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</si>
  <si>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</si>
  <si>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</si>
  <si>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</si>
  <si>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</si>
  <si>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</si>
  <si>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</si>
  <si>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</si>
  <si>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</si>
  <si>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</si>
  <si>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</si>
  <si>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</si>
  <si>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</si>
  <si>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</si>
  <si>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</si>
  <si>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</si>
  <si>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</si>
  <si>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</si>
  <si>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</si>
  <si>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</si>
  <si>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</si>
  <si>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</si>
  <si>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</si>
  <si>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</si>
  <si>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</si>
  <si>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</si>
  <si>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</si>
  <si>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</si>
  <si>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</si>
  <si>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</si>
  <si>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</si>
  <si>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</si>
  <si>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</si>
  <si>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</si>
  <si>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</si>
  <si>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</si>
  <si>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</si>
  <si>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</si>
  <si>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</si>
  <si>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</si>
  <si>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</si>
  <si>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</si>
  <si>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</si>
  <si>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</si>
  <si>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</si>
  <si>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</si>
  <si>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</si>
  <si>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</si>
  <si>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</si>
  <si>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</si>
  <si>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</si>
  <si>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</si>
  <si>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</si>
  <si>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</si>
  <si>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</si>
  <si>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</si>
  <si>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</si>
  <si>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</si>
  <si>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</si>
  <si>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</si>
  <si>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</si>
  <si>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</si>
  <si>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</si>
  <si>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</si>
  <si>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</si>
  <si>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</si>
  <si>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</si>
  <si>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</si>
  <si>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</si>
  <si>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</si>
  <si>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</si>
  <si>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</si>
  <si>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</si>
  <si>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</si>
  <si>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</si>
  <si>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</si>
  <si>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</si>
  <si>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</si>
  <si>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</si>
  <si>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</si>
  <si>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</si>
  <si>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</si>
  <si>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</si>
  <si>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</si>
  <si>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</si>
  <si>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</si>
  <si>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</si>
  <si>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</si>
  <si>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</si>
  <si>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</si>
  <si>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</si>
  <si>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</si>
  <si>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</si>
  <si>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</si>
  <si>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</si>
  <si>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</si>
  <si>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</si>
  <si>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</si>
  <si>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</si>
  <si>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</si>
  <si>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</si>
  <si>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</si>
  <si>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</si>
  <si>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</si>
  <si>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</si>
  <si>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</si>
  <si>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</si>
  <si>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</si>
  <si>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</si>
  <si>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</si>
  <si>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</si>
  <si>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</si>
  <si>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</si>
  <si>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</si>
  <si>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</si>
  <si>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</si>
  <si>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</si>
  <si>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</si>
  <si>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</si>
  <si>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</si>
  <si>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</si>
  <si>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</si>
  <si>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</si>
  <si>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</si>
  <si>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</si>
  <si>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</si>
  <si>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</si>
  <si>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</si>
  <si>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</si>
  <si>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</si>
  <si>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</si>
  <si>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</si>
  <si>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</si>
  <si>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</si>
  <si>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</si>
  <si>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</si>
  <si>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</si>
  <si>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</si>
  <si>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</si>
  <si>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</si>
  <si>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</si>
  <si>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</si>
  <si>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</si>
  <si>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</si>
  <si>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</si>
  <si>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</si>
  <si>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</si>
  <si>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</si>
  <si>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</si>
  <si>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</si>
  <si>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</si>
  <si>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</si>
  <si>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</si>
  <si>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</si>
  <si>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</si>
  <si>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</si>
  <si>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</si>
  <si>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</si>
  <si>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</si>
  <si>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</si>
  <si>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</si>
  <si>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</si>
  <si>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</si>
  <si>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</si>
  <si>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</si>
  <si>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</si>
  <si>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</si>
  <si>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</si>
  <si>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</si>
  <si>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</si>
  <si>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</si>
  <si>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</si>
  <si>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</si>
  <si>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</si>
  <si>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</si>
  <si>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</si>
  <si>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</si>
  <si>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</si>
  <si>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</si>
  <si>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</si>
  <si>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</si>
  <si>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</si>
  <si>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</si>
  <si>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</si>
  <si>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</si>
  <si>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</si>
  <si>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</si>
  <si>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</si>
  <si>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</si>
  <si>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</si>
  <si>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</si>
  <si>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</si>
  <si>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</si>
  <si>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</si>
  <si>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</si>
  <si>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</si>
  <si>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</si>
  <si>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</si>
  <si>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</si>
  <si>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</si>
  <si>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</si>
  <si>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</si>
  <si>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</si>
  <si>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交付日</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</si>
  <si>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</si>
  <si>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</si>
  <si>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</si>
  <si>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</si>
  <si>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</si>
  <si>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</si>
  <si>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</si>
  <si>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</si>
  <si>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</si>
  <si>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</si>
  <si>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</si>
  <si>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</si>
  <si>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</si>
  <si>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</si>
  <si>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</si>
  <si>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</si>
  <si>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</si>
  <si>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</si>
  <si>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</si>
  <si>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</si>
  <si>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</si>
  <si>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</si>
  <si>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</si>
  <si>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</si>
  <si>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</si>
  <si>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</si>
  <si>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</si>
  <si>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</si>
  <si>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</si>
  <si>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</si>
  <si>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</si>
  <si>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</si>
  <si>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</si>
  <si>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</si>
  <si>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</si>
  <si>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</si>
  <si>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</si>
  <si>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</si>
  <si>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</si>
  <si>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</si>
  <si>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</si>
  <si>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</si>
  <si>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</si>
  <si>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</si>
  <si>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</si>
  <si>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</si>
  <si>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</si>
  <si>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</si>
  <si>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</si>
  <si>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</si>
  <si>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</si>
  <si>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</si>
  <si>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</si>
  <si>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</si>
  <si>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</si>
  <si>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</si>
  <si>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</si>
  <si>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</si>
  <si>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</si>
  <si>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</si>
  <si>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</si>
  <si>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</si>
  <si>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</si>
  <si>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</si>
  <si>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</si>
  <si>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</si>
  <si>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</si>
  <si>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</si>
  <si>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</si>
  <si>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</si>
  <si>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</si>
  <si>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</si>
  <si>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</si>
  <si>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</si>
  <si>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</si>
  <si>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</si>
  <si>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</si>
  <si>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</si>
  <si>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</si>
  <si>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</si>
  <si>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</si>
  <si>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</si>
  <si>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</si>
  <si>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</si>
  <si>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</si>
  <si>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</si>
  <si>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</si>
  <si>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</si>
  <si>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</si>
  <si>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</si>
  <si>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</si>
  <si>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</si>
  <si>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</si>
  <si>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</si>
  <si>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</si>
  <si>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</si>
  <si>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</si>
  <si>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</si>
  <si>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</si>
  <si>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</si>
  <si>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</si>
  <si>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</si>
  <si>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</si>
  <si>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</si>
  <si>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</si>
  <si>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</si>
  <si>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</si>
  <si>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</si>
  <si>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</si>
  <si>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</si>
  <si>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</si>
  <si>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</si>
  <si>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</si>
  <si>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</si>
  <si>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</si>
  <si>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</si>
  <si>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</si>
  <si>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</si>
  <si>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</si>
  <si>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</si>
  <si>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</si>
  <si>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</si>
  <si>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</si>
  <si>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</si>
  <si>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</si>
  <si>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</si>
  <si>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</si>
  <si>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</si>
  <si>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</si>
  <si>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</si>
  <si>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</si>
  <si>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</si>
  <si>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</si>
  <si>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</si>
  <si>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</si>
  <si>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</si>
  <si>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</si>
  <si>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</si>
  <si>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</si>
  <si>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</si>
  <si>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</si>
  <si>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</si>
  <si>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</si>
  <si>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</si>
  <si>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</si>
  <si>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</si>
  <si>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</si>
  <si>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</si>
  <si>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</si>
  <si>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</si>
  <si>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</si>
  <si>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</si>
  <si>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</si>
  <si>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</si>
  <si>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</si>
  <si>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</si>
  <si>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</si>
  <si>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</si>
  <si>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</si>
  <si>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</si>
  <si>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</si>
  <si>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</si>
  <si>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</si>
  <si>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</si>
  <si>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</si>
  <si>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</si>
  <si>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</si>
  <si>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</si>
  <si>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</si>
  <si>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</si>
  <si>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</si>
  <si>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</si>
  <si>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</si>
  <si>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</si>
  <si>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cst_wskakunin_owner2_JIMU_NAME</t>
  </si>
  <si>
    <t>**wskakunin_owner2_JIMU_NAME_KANA</t>
  </si>
  <si>
    <t>cst_wskakunin_owner2_JIMU_NAME_KANA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</si>
  <si>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</si>
  <si>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</si>
  <si>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</si>
  <si>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</si>
  <si>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</si>
  <si>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</si>
  <si>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</si>
  <si>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</si>
  <si>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</si>
  <si>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</si>
  <si>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</si>
  <si>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</si>
  <si>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</si>
  <si>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</si>
  <si>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</si>
  <si>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</si>
  <si>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</si>
  <si>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</si>
  <si>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</si>
  <si>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</si>
  <si>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</si>
  <si>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</si>
  <si>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</si>
  <si>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</si>
  <si>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</si>
  <si>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</si>
  <si>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</si>
  <si>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</si>
  <si>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</si>
  <si>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</si>
  <si>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</si>
  <si>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</si>
  <si>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</si>
  <si>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</si>
  <si>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</si>
  <si>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</si>
  <si>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</si>
  <si>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</si>
  <si>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</si>
  <si>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</si>
  <si>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</si>
  <si>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</si>
  <si>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</si>
  <si>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</si>
  <si>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</si>
  <si>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</si>
  <si>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</si>
  <si>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</si>
  <si>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</si>
  <si>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</si>
  <si>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</si>
  <si>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</si>
  <si>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</si>
  <si>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</si>
  <si>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</si>
  <si>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</si>
  <si>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</si>
  <si>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</si>
  <si>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</si>
  <si>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</si>
  <si>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</si>
  <si>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</si>
  <si>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</si>
  <si>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</si>
  <si>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</si>
  <si>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</si>
  <si>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</si>
  <si>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</si>
  <si>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</si>
  <si>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</si>
  <si>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</si>
  <si>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</si>
  <si>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</si>
  <si>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</si>
  <si>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</si>
  <si>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</si>
  <si>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</si>
  <si>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</si>
  <si>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</si>
  <si>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</si>
  <si>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</si>
  <si>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</si>
  <si>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</si>
  <si>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</si>
  <si>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</si>
  <si>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</si>
  <si>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</si>
  <si>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</si>
  <si>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</si>
  <si>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</si>
  <si>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</si>
  <si>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</si>
  <si>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</si>
  <si>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</si>
  <si>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</si>
  <si>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</si>
  <si>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</si>
  <si>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</si>
  <si>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</si>
  <si>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</si>
  <si>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</si>
  <si>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</si>
  <si>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</si>
  <si>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</si>
  <si>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</si>
  <si>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</si>
  <si>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</si>
  <si>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</si>
  <si>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</si>
  <si>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</si>
  <si>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</si>
  <si>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</si>
  <si>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</si>
  <si>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</si>
  <si>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</si>
  <si>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</si>
  <si>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</si>
  <si>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</si>
  <si>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</si>
  <si>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</si>
  <si>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</si>
  <si>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</si>
  <si>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</si>
  <si>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</si>
  <si>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</si>
  <si>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</si>
  <si>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</si>
  <si>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</si>
  <si>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</si>
  <si>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</si>
  <si>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</si>
  <si>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</si>
  <si>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</si>
  <si>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</si>
  <si>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</si>
  <si>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</si>
  <si>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</si>
  <si>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</si>
  <si>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</si>
  <si>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</si>
  <si>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</si>
  <si>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</si>
  <si>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</si>
  <si>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</si>
  <si>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</si>
  <si>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</si>
  <si>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</si>
  <si>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</si>
  <si>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</si>
  <si>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</si>
  <si>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</si>
  <si>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</si>
  <si>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</si>
  <si>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</si>
  <si>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</si>
  <si>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</si>
  <si>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</si>
  <si>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</si>
  <si>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</si>
  <si>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</si>
  <si>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</si>
  <si>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</si>
  <si>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</si>
  <si>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</si>
  <si>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</si>
  <si>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</si>
  <si>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</si>
  <si>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</si>
  <si>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</si>
  <si>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</si>
  <si>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</si>
  <si>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</si>
  <si>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</si>
  <si>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</si>
  <si>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</si>
  <si>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</si>
  <si>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</si>
  <si>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</si>
  <si>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</si>
  <si>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</si>
  <si>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</si>
  <si>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</si>
  <si>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</si>
  <si>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</si>
  <si>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</si>
  <si>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</si>
  <si>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</si>
  <si>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</si>
  <si>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</si>
  <si>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</si>
  <si>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</si>
  <si>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</si>
  <si>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</si>
  <si>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</si>
  <si>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</si>
  <si>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</si>
  <si>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</si>
  <si>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</si>
  <si>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</si>
  <si>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</si>
  <si>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</si>
  <si>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</si>
  <si>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</si>
  <si>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</si>
  <si>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</si>
  <si>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</si>
  <si>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</si>
  <si>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</si>
  <si>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</si>
  <si>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</si>
  <si>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</si>
  <si>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</si>
  <si>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</si>
  <si>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</si>
  <si>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</si>
  <si>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</si>
  <si>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</si>
  <si>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</si>
  <si>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</si>
  <si>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</si>
  <si>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</si>
  <si>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</si>
  <si>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</si>
  <si>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</si>
  <si>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</si>
  <si>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</si>
  <si>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</si>
  <si>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</si>
  <si>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</si>
  <si>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</si>
  <si>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</si>
  <si>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</si>
  <si>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</si>
  <si>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</si>
  <si>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</si>
  <si>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</si>
  <si>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</si>
  <si>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</si>
  <si>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</si>
  <si>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</si>
  <si>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</si>
  <si>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</si>
  <si>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</si>
  <si>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</si>
  <si>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</si>
  <si>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</si>
  <si>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</si>
  <si>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</si>
  <si>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</si>
  <si>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</si>
  <si>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</si>
  <si>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</si>
  <si>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</si>
  <si>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</si>
  <si>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</si>
  <si>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</si>
  <si>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</si>
  <si>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</si>
  <si>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</si>
  <si>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</si>
  <si>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</si>
  <si>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</si>
  <si>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</si>
  <si>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</si>
  <si>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</si>
  <si>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</si>
  <si>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</si>
  <si>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</si>
  <si>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</si>
  <si>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</si>
  <si>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</si>
  <si>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</si>
  <si>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</si>
  <si>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</si>
  <si>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</si>
  <si>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</si>
  <si>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</si>
  <si>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</si>
  <si>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</si>
  <si>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</si>
  <si>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</si>
  <si>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</si>
  <si>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</si>
  <si>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</si>
  <si>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</si>
  <si>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</si>
  <si>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</si>
  <si>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</si>
  <si>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</si>
  <si>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</si>
  <si>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</si>
  <si>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</si>
  <si>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</si>
  <si>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</si>
  <si>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</si>
  <si>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</si>
  <si>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</si>
  <si>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</si>
  <si>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</si>
  <si>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</si>
  <si>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</si>
  <si>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</si>
  <si>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</si>
  <si>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</si>
  <si>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</si>
  <si>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</si>
  <si>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</si>
  <si>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</si>
  <si>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</si>
  <si>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</si>
  <si>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</si>
  <si>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</si>
  <si>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</si>
  <si>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</si>
  <si>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</si>
  <si>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</si>
  <si>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</si>
  <si>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</si>
  <si>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</si>
  <si>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</si>
  <si>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</si>
  <si>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</si>
  <si>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</si>
  <si>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</si>
  <si>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</si>
  <si>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</si>
  <si>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</si>
  <si>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</si>
  <si>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</si>
  <si>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</si>
  <si>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</si>
  <si>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</si>
  <si>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</si>
  <si>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</si>
  <si>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</si>
  <si>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</si>
  <si>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</si>
  <si>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</si>
  <si>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</si>
  <si>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</si>
  <si>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</si>
  <si>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</si>
  <si>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</si>
  <si>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</si>
  <si>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</si>
  <si>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</si>
  <si>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</si>
  <si>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</si>
  <si>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</si>
  <si>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</si>
  <si>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</si>
  <si>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</si>
  <si>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</si>
  <si>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</si>
  <si>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</si>
  <si>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</si>
  <si>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</si>
  <si>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</si>
  <si>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</si>
  <si>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</si>
  <si>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</si>
  <si>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</si>
  <si>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</si>
  <si>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</si>
  <si>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</si>
  <si>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</si>
  <si>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</si>
  <si>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</si>
  <si>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</si>
  <si>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</si>
  <si>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</si>
  <si>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</si>
  <si>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</si>
  <si>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</si>
  <si>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</si>
  <si>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</si>
  <si>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</si>
  <si>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</si>
  <si>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</si>
  <si>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</si>
  <si>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</si>
  <si>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</si>
  <si>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</si>
  <si>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</si>
  <si>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</si>
  <si>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</si>
  <si>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</si>
  <si>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</si>
  <si>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</si>
  <si>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</si>
  <si>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</si>
  <si>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</si>
  <si>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</si>
  <si>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</si>
  <si>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</si>
  <si>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</si>
  <si>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</si>
  <si>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</si>
  <si>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</si>
  <si>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</si>
  <si>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</si>
  <si>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</si>
  <si>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</si>
  <si>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</si>
  <si>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</si>
  <si>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</si>
  <si>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</si>
  <si>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</si>
  <si>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</si>
  <si>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</si>
  <si>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</si>
  <si>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</si>
  <si>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</si>
  <si>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</si>
  <si>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</si>
  <si>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</si>
  <si>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</si>
  <si>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</si>
  <si>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</si>
  <si>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</si>
  <si>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</si>
  <si>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</si>
  <si>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</si>
  <si>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</si>
  <si>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</si>
  <si>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</si>
  <si>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</si>
  <si>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</si>
  <si>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</si>
  <si>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</si>
  <si>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</si>
  <si>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</si>
  <si>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</si>
  <si>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</si>
  <si>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</si>
  <si>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</si>
  <si>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</si>
  <si>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</si>
  <si>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</si>
  <si>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</si>
  <si>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</si>
  <si>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</si>
  <si>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</si>
  <si>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</si>
  <si>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</si>
  <si>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</si>
  <si>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</si>
  <si>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</si>
  <si>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</si>
  <si>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</si>
  <si>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</si>
  <si>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</si>
  <si>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</si>
  <si>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</si>
  <si>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</si>
  <si>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</si>
  <si>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</si>
  <si>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</si>
  <si>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</si>
  <si>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</si>
  <si>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</si>
  <si>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</si>
  <si>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</si>
  <si>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</si>
  <si>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</si>
  <si>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</si>
  <si>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</si>
  <si>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</si>
  <si>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</si>
  <si>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</si>
  <si>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</si>
  <si>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</si>
  <si>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</si>
  <si>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</si>
  <si>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</si>
  <si>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</si>
  <si>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</si>
  <si>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（その他の工事監理者）</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</si>
  <si>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</si>
  <si>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</si>
  <si>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</si>
  <si>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</si>
  <si>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</si>
  <si>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</si>
  <si>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</si>
  <si>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</si>
  <si>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</si>
  <si>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</si>
  <si>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</si>
  <si>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</si>
  <si>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</si>
  <si>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</si>
  <si>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</si>
  <si>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</si>
  <si>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</si>
  <si>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</si>
  <si>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</si>
  <si>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</si>
  <si>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</si>
  <si>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</si>
  <si>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</si>
  <si>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</si>
  <si>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</si>
  <si>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</si>
  <si>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</si>
  <si>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</si>
  <si>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</si>
  <si>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</si>
  <si>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</si>
  <si>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</si>
  <si>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</si>
  <si>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</si>
  <si>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</si>
  <si>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</si>
  <si>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</si>
  <si>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</si>
  <si>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</si>
  <si>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</si>
  <si>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</si>
  <si>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</si>
  <si>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</si>
  <si>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</si>
  <si>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</si>
  <si>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</si>
  <si>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</si>
  <si>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</si>
  <si>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</si>
  <si>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</si>
  <si>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</si>
  <si>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</si>
  <si>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</si>
  <si>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</si>
  <si>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</si>
  <si>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</si>
  <si>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</si>
  <si>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</si>
  <si>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</si>
  <si>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</si>
  <si>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</si>
  <si>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</si>
  <si>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</si>
  <si>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</si>
  <si>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</si>
  <si>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</si>
  <si>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</si>
  <si>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</si>
  <si>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</si>
  <si>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</si>
  <si>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</si>
  <si>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</si>
  <si>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</si>
  <si>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</si>
  <si>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</si>
  <si>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</si>
  <si>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</si>
  <si>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</si>
  <si>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</si>
  <si>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</si>
  <si>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</si>
  <si>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</si>
  <si>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</si>
  <si>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</si>
  <si>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</si>
  <si>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</si>
  <si>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</si>
  <si>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</si>
  <si>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</si>
  <si>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</si>
  <si>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</si>
  <si>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</si>
  <si>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</si>
  <si>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</si>
  <si>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</si>
  <si>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</si>
  <si>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</si>
  <si>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</si>
  <si>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</si>
  <si>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</si>
  <si>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</si>
  <si>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</si>
  <si>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</si>
  <si>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</si>
  <si>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</si>
  <si>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</si>
  <si>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</si>
  <si>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</si>
  <si>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</si>
  <si>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</si>
  <si>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</si>
  <si>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</si>
  <si>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</si>
  <si>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</si>
  <si>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</si>
  <si>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</si>
  <si>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</si>
  <si>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</si>
  <si>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</si>
  <si>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</si>
  <si>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</si>
  <si>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</si>
  <si>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</si>
  <si>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</si>
  <si>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</si>
  <si>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</si>
  <si>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</si>
  <si>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</si>
  <si>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</si>
  <si>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</si>
  <si>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</si>
  <si>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</si>
  <si>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</si>
  <si>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</si>
  <si>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</si>
  <si>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</si>
  <si>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</si>
  <si>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</si>
  <si>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</si>
  <si>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</si>
  <si>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</si>
  <si>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</si>
  <si>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</si>
  <si>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</si>
  <si>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</si>
  <si>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</si>
  <si>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</si>
  <si>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</si>
  <si>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</si>
  <si>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</si>
  <si>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</si>
  <si>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</si>
  <si>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</si>
  <si>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</si>
  <si>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</si>
  <si>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</si>
  <si>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</si>
  <si>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</si>
  <si>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</si>
  <si>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</si>
  <si>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</si>
  <si>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</si>
  <si>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</si>
  <si>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</si>
  <si>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</si>
  <si>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</si>
  <si>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</si>
  <si>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</si>
  <si>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</si>
  <si>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</si>
  <si>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</si>
  <si>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</si>
  <si>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</si>
  <si>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</si>
  <si>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</si>
  <si>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</si>
  <si>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</si>
  <si>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</si>
  <si>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</si>
  <si>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</si>
  <si>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</si>
  <si>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</si>
  <si>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</si>
  <si>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</si>
  <si>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</si>
  <si>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</si>
  <si>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</si>
  <si>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</si>
  <si>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</si>
  <si>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</si>
  <si>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</si>
  <si>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</si>
  <si>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</si>
  <si>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</si>
  <si>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</si>
  <si>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</si>
  <si>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</si>
  <si>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</si>
  <si>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</si>
  <si>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</si>
  <si>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</si>
  <si>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</si>
  <si>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</si>
  <si>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</si>
  <si>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</si>
  <si>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</si>
  <si>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</si>
  <si>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</si>
  <si>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</si>
  <si>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</si>
  <si>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</si>
  <si>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</si>
  <si>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</si>
  <si>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</si>
  <si>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</si>
  <si>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</si>
  <si>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</si>
  <si>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</si>
  <si>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</si>
  <si>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</si>
  <si>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</si>
  <si>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</si>
  <si>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</si>
  <si>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</si>
  <si>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</si>
  <si>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</si>
  <si>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</si>
  <si>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</si>
  <si>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</si>
  <si>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</si>
  <si>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</si>
  <si>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</si>
  <si>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</si>
  <si>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</si>
  <si>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</si>
  <si>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</si>
  <si>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</si>
  <si>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</si>
  <si>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</si>
  <si>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</si>
  <si>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</si>
  <si>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</si>
  <si>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</si>
  <si>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</si>
  <si>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</si>
  <si>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</si>
  <si>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</si>
  <si>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</si>
  <si>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</si>
  <si>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</si>
  <si>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</si>
  <si>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</si>
  <si>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</si>
  <si>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</si>
  <si>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</si>
  <si>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</si>
  <si>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</si>
  <si>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</si>
  <si>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</si>
  <si>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</si>
  <si>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</si>
  <si>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</si>
  <si>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</si>
  <si>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</si>
  <si>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</si>
  <si>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</si>
  <si>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</si>
  <si>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</si>
  <si>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</si>
  <si>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</si>
  <si>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</si>
  <si>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</si>
  <si>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</si>
  <si>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</si>
  <si>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</si>
  <si>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</si>
  <si>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</si>
  <si>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</si>
  <si>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</si>
  <si>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</si>
  <si>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</si>
  <si>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</si>
  <si>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</si>
  <si>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</si>
  <si>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</si>
  <si>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</si>
  <si>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</si>
  <si>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</si>
  <si>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</si>
  <si>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</si>
  <si>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</si>
  <si>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</si>
  <si>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</si>
  <si>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</si>
  <si>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</si>
  <si>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</si>
  <si>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</si>
  <si>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</si>
  <si>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</si>
  <si>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</si>
  <si>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</si>
  <si>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</si>
  <si>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</si>
  <si>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</si>
  <si>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</si>
  <si>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</si>
  <si>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</si>
  <si>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</si>
  <si>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</si>
  <si>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</si>
  <si>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</si>
  <si>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</si>
  <si>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</si>
  <si>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</si>
  <si>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</si>
  <si>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</si>
  <si>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</si>
  <si>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</si>
  <si>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</si>
  <si>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</si>
  <si>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</si>
  <si>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</si>
  <si>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</si>
  <si>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</si>
  <si>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</si>
  <si>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</si>
  <si>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</si>
  <si>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</si>
  <si>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</si>
  <si>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</si>
  <si>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</si>
  <si>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</si>
  <si>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</si>
  <si>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</si>
  <si>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</si>
  <si>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</si>
  <si>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</si>
  <si>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</si>
  <si>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</si>
  <si>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</si>
  <si>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</si>
  <si>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</si>
  <si>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</si>
  <si>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</si>
  <si>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</si>
  <si>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</si>
  <si>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</si>
  <si>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</si>
  <si>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</si>
  <si>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</si>
  <si>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</si>
  <si>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</si>
  <si>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</si>
  <si>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</si>
  <si>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</si>
  <si>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</si>
  <si>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</si>
  <si>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</si>
  <si>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</si>
  <si>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</si>
  <si>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</si>
  <si>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</si>
  <si>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</si>
  <si>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</si>
  <si>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</si>
  <si>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</si>
  <si>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</si>
  <si>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</si>
  <si>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</si>
  <si>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</si>
  <si>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</si>
  <si>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</si>
  <si>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</si>
  <si>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</si>
  <si>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</si>
  <si>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</si>
  <si>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</si>
  <si>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</si>
  <si>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</si>
  <si>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</si>
  <si>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</si>
  <si>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</si>
  <si>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</si>
  <si>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</si>
  <si>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</si>
  <si>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</si>
  <si>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</si>
  <si>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</si>
  <si>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</si>
  <si>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</si>
  <si>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</si>
  <si>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</si>
  <si>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</si>
  <si>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</si>
  <si>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</si>
  <si>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</si>
  <si>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</si>
  <si>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</si>
  <si>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</si>
  <si>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</si>
  <si>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</si>
  <si>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</si>
  <si>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</si>
  <si>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</si>
  <si>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</si>
  <si>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</si>
  <si>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</si>
  <si>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</si>
  <si>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</si>
  <si>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</si>
  <si>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</si>
  <si>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</si>
  <si>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</si>
  <si>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</si>
  <si>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</si>
  <si>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</si>
  <si>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</si>
  <si>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</si>
  <si>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</si>
  <si>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</si>
  <si>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</si>
  <si>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</si>
  <si>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</si>
  <si>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</si>
  <si>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</si>
  <si>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</si>
  <si>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</si>
  <si>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</si>
  <si>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</si>
  <si>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</si>
  <si>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</si>
  <si>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</si>
  <si>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</si>
  <si>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</si>
  <si>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</si>
  <si>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</si>
  <si>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</si>
  <si>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</si>
  <si>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</si>
  <si>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</si>
  <si>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</si>
  <si>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</si>
  <si>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</si>
  <si>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</si>
  <si>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</si>
  <si>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</si>
  <si>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</si>
  <si>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</si>
  <si>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</si>
  <si>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</si>
  <si>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</si>
  <si>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</si>
  <si>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</si>
  <si>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</si>
  <si>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</si>
  <si>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</si>
  <si>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</si>
  <si>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</si>
  <si>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</si>
  <si>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</si>
  <si>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</si>
  <si>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</si>
  <si>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</si>
  <si>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</si>
  <si>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</si>
  <si>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</si>
  <si>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</si>
  <si>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</si>
  <si>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</si>
  <si>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</si>
  <si>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</si>
  <si>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</si>
  <si>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</si>
  <si>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</si>
  <si>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</si>
  <si>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</si>
  <si>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</si>
  <si>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</si>
  <si>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</si>
  <si>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</si>
  <si>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</si>
  <si>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</si>
  <si>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</si>
  <si>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</si>
  <si>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</si>
  <si>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</si>
  <si>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</si>
  <si>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</si>
  <si>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</si>
  <si>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</si>
  <si>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</si>
  <si>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</si>
  <si>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</si>
  <si>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</si>
  <si>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</si>
  <si>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</si>
  <si>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</si>
  <si>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</si>
  <si>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</si>
  <si>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</si>
  <si>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</si>
  <si>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</si>
  <si>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</si>
  <si>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</si>
  <si>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</si>
  <si>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</si>
  <si>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</si>
  <si>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</si>
  <si>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</si>
  <si>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</si>
  <si>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</si>
  <si>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</si>
  <si>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</si>
  <si>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</si>
  <si>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</si>
  <si>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</si>
  <si>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</si>
  <si>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cst_wskakunin_KOUZOU_mokuzou</t>
  </si>
  <si>
    <t>cst_wskakunin_KOUZOU_zairai</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</si>
  <si>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</si>
  <si>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</si>
  <si>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</si>
  <si>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</si>
  <si>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</si>
  <si>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</si>
  <si>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</si>
  <si>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</si>
  <si>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</si>
  <si>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</si>
  <si>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</si>
  <si>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</si>
  <si>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</si>
  <si>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</si>
  <si>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</si>
  <si>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</si>
  <si>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</si>
  <si>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</si>
  <si>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</si>
  <si>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</si>
  <si>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</si>
  <si>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</si>
  <si>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</si>
  <si>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</si>
  <si>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</si>
  <si>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</si>
  <si>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</si>
  <si>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</si>
  <si>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</si>
  <si>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</si>
  <si>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</si>
  <si>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</si>
  <si>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</si>
  <si>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</si>
  <si>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</si>
  <si>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</si>
  <si>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</si>
  <si>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</si>
  <si>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</si>
  <si>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</si>
  <si>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</si>
  <si>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</si>
  <si>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</si>
  <si>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</si>
  <si>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</si>
  <si>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</si>
  <si>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</si>
  <si>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</si>
  <si>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</si>
  <si>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</si>
  <si>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</si>
  <si>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</si>
  <si>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</si>
  <si>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</si>
  <si>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</si>
  <si>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</si>
  <si>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</si>
  <si>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</si>
  <si>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</si>
  <si>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</si>
  <si>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</si>
  <si>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</si>
  <si>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</si>
  <si>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</si>
  <si>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</si>
  <si>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</si>
  <si>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</si>
  <si>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</si>
  <si>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</si>
  <si>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</si>
  <si>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</si>
  <si>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</si>
  <si>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</si>
  <si>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</si>
  <si>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</si>
  <si>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</si>
  <si>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</si>
  <si>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</si>
  <si>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</si>
  <si>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</si>
  <si>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</si>
  <si>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</si>
  <si>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</si>
  <si>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</si>
  <si>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</si>
  <si>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</si>
  <si>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</si>
  <si>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</si>
  <si>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</si>
  <si>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</si>
  <si>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**wskakunin_p4_1_YUKA_MENSEKI_SHINSEI</t>
  </si>
  <si>
    <t>cst_wskakunin_p4_1_YUKA_MENSEKI_SHINSEI</t>
  </si>
  <si>
    <t>**wskakunin_p4_2_KAISU_TIKAI_NOZOKU</t>
  </si>
  <si>
    <t>**wskakunin_p4_3_KAISU_TIKAI</t>
  </si>
  <si>
    <t>**wskakunin_p4_2_KAISU_TIKAI</t>
  </si>
  <si>
    <t>**wskakunin_p4_2_YUKA_MENSEKI_SHINSEI</t>
  </si>
  <si>
    <t>**wskakunin_p4_3_KAISU_TIKAI_NOZOKU</t>
  </si>
  <si>
    <t>**wskakunin_p4_3_YUKA_MENSEKI_SHINSEI</t>
  </si>
  <si>
    <t>cst_wskakunin_p4_2_KAISU_TIKAI_NOZOKU</t>
  </si>
  <si>
    <t>cst_wskakunin_p4_2_KAISU_TIKAI</t>
  </si>
  <si>
    <t>cst_wskakunin_p4_2_YUKA_MENSEKI_SHINSEI</t>
  </si>
  <si>
    <t>cst_wskakunin_p4_3_KAISU_TIKAI_NOZOKU</t>
  </si>
  <si>
    <t>cst_wskakunin_p4_3_KAISU_TIKAI</t>
  </si>
  <si>
    <t>cst_wskakunin_p4_3_YUKA_MENSEKI_SHINSEI</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</si>
  <si>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</si>
  <si>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</si>
  <si>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</si>
  <si>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</si>
  <si>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</si>
  <si>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</si>
  <si>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</si>
  <si>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</si>
  <si>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</si>
  <si>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</si>
  <si>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</si>
  <si>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</si>
  <si>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</si>
  <si>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</si>
  <si>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</si>
  <si>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</si>
  <si>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</si>
  <si>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</si>
  <si>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</si>
  <si>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</si>
  <si>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</si>
  <si>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</si>
  <si>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</si>
  <si>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</si>
  <si>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</si>
  <si>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</si>
  <si>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</si>
  <si>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</si>
  <si>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</si>
  <si>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</si>
  <si>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</si>
  <si>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</si>
  <si>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</si>
  <si>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</si>
  <si>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</si>
  <si>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</si>
  <si>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</si>
  <si>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</si>
  <si>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</si>
  <si>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</si>
  <si>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</si>
  <si>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</si>
  <si>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</si>
  <si>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</si>
  <si>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</si>
  <si>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</si>
  <si>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</si>
  <si>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</si>
  <si>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</si>
  <si>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</si>
  <si>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</si>
  <si>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</si>
  <si>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</si>
  <si>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</si>
  <si>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</si>
  <si>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</si>
  <si>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</si>
  <si>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</si>
  <si>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</si>
  <si>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</si>
  <si>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</si>
  <si>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</si>
  <si>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</si>
  <si>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工作物</t>
  </si>
  <si>
    <t>cst_wsjob_KOUSAKUBUTU_box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</si>
  <si>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</si>
  <si>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</si>
  <si>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</si>
  <si>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</si>
  <si>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</si>
  <si>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</si>
  <si>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</si>
  <si>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</si>
  <si>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</si>
  <si>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</si>
  <si>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</si>
  <si>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</si>
  <si>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</si>
  <si>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</si>
  <si>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</si>
  <si>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</si>
  <si>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</si>
  <si>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</si>
  <si>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</si>
  <si>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</si>
  <si>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</si>
  <si>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</si>
  <si>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</si>
  <si>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</si>
  <si>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</si>
  <si>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</si>
  <si>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</si>
  <si>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</si>
  <si>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</si>
  <si>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</si>
  <si>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</si>
  <si>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</si>
  <si>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</si>
  <si>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</si>
  <si>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</si>
  <si>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</si>
  <si>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</si>
  <si>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</si>
  <si>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</si>
  <si>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</si>
  <si>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</si>
  <si>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</si>
  <si>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</si>
  <si>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</si>
  <si>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</si>
  <si>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</si>
  <si>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</si>
  <si>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</si>
  <si>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</si>
  <si>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</si>
  <si>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</si>
  <si>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</si>
  <si>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</si>
  <si>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</si>
  <si>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</si>
  <si>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</si>
  <si>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</si>
  <si>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</si>
  <si>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</si>
  <si>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</si>
  <si>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</si>
  <si>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</si>
  <si>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</si>
  <si>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</si>
  <si>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</si>
  <si>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</si>
  <si>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</si>
  <si>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</si>
  <si>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</si>
  <si>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</si>
  <si>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</si>
  <si>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</si>
  <si>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</si>
  <si>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</si>
  <si>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</si>
  <si>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</si>
  <si>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</si>
  <si>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</si>
  <si>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</si>
  <si>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</si>
  <si>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</si>
  <si>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</si>
  <si>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</si>
  <si>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</si>
  <si>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</si>
  <si>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</si>
  <si>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</si>
  <si>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</si>
  <si>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</si>
  <si>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</si>
  <si>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</si>
  <si>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</si>
  <si>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</si>
  <si>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</si>
  <si>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</si>
  <si>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</si>
  <si>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</si>
  <si>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</si>
  <si>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</si>
  <si>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</si>
  <si>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</si>
  <si>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</si>
  <si>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</si>
  <si>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</si>
  <si>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</si>
  <si>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</si>
  <si>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</si>
  <si>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</si>
  <si>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</si>
  <si>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</si>
  <si>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</si>
  <si>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確認を行っ
た部位、材
料の種類等</t>
  </si>
  <si>
    <t>照合内容</t>
  </si>
  <si>
    <t>照合を行
った設計
図書</t>
  </si>
  <si>
    <t>設計図書の内
容について設
計者に確認し
た事項</t>
  </si>
  <si>
    <t>照合方法</t>
  </si>
  <si>
    <t>照合結果
（不適の場合には
建築主に対して行
った報告の内容）</t>
  </si>
  <si>
    <t>敷地の形状、高さ、衛
生及び安全</t>
  </si>
  <si>
    <t>主要構造部及び主要
構造部以外の構造耐
力上主要な部分に用
いる材料（接合材料を
含む。）の種類、品質、
形状及び寸法</t>
  </si>
  <si>
    <t>主要構造部及び主要
構造部以外の構造耐
力上必要な部分に用
いる材料の接合状況、
接合部分の形状等</t>
  </si>
  <si>
    <t>建築物の各部分の位
置、形状及び大きさ</t>
  </si>
  <si>
    <t>構造耐力上主要な部
分の防錆、防腐及び防
蟻措置及び状況</t>
  </si>
  <si>
    <t>特定天井に用いる材
料の種類並びに当該
特定天井の構造及び
施工状況</t>
  </si>
  <si>
    <t>居室の内装の仕上げ
に用いる建築材料の
種別及び当該建築材
料を用いる部分の面
積</t>
  </si>
  <si>
    <t>天井及び壁の室内に
面する部分に係る仕
上げの材料の種別及
び厚さ</t>
  </si>
  <si>
    <t>開口部に設ける建具
の種類及び大きさ</t>
  </si>
  <si>
    <t>建築設備に用いる材
料の種類及びその照
合した内容並びに当
該建築設備の構造及
び施工状況（区画貫通
部の処理状況を含
む。）</t>
  </si>
  <si>
    <t>備　　　　　　　　　　考</t>
  </si>
  <si>
    <t>センター別記Ｃ－２３号様式</t>
  </si>
  <si>
    <t>計 画 廃 止 届</t>
  </si>
  <si>
    <t>様</t>
  </si>
  <si>
    <t>届 出 者</t>
  </si>
  <si>
    <t>次のとおり工事の計画を廃止したので届けます。</t>
  </si>
  <si>
    <t>確認年月日及び確認番号</t>
  </si>
  <si>
    <t>建　築
設　置　の場所
築　造</t>
  </si>
  <si>
    <t>建築主
設置者　の住所及び氏名
建造主</t>
  </si>
  <si>
    <t>計画を廃止した理由</t>
  </si>
  <si>
    <t>備　　　　　考</t>
  </si>
  <si>
    <t>※
受
付
欄</t>
  </si>
  <si>
    <t>※
決
裁
欄</t>
  </si>
  <si>
    <t>※
処
理
欄</t>
  </si>
  <si>
    <t>センター別記Ｃ－２１号様式</t>
  </si>
  <si>
    <t>確認申請書記載事項変更届</t>
  </si>
  <si>
    <t>１ 確認年月日及び番号</t>
  </si>
  <si>
    <t>２ 建築主･設置者･築造主</t>
  </si>
  <si>
    <t>３ 建築・設置・築造の場所</t>
  </si>
  <si>
    <t>４ 建築物等の用途及び構造</t>
  </si>
  <si>
    <t>５
届
出
事
項</t>
  </si>
  <si>
    <t>建築主
設置者の変更
築造主</t>
  </si>
  <si>
    <t>新</t>
  </si>
  <si>
    <t>建築主・設置者・築造主
の住所及び氏名</t>
  </si>
  <si>
    <t>旧</t>
  </si>
  <si>
    <t>設計者の変更</t>
  </si>
  <si>
    <t>設計者の資格、氏名
及び建築士事務所名・
所在地</t>
  </si>
  <si>
    <t>(　　)建築士(　　　)登録第　　　　　　　号</t>
  </si>
  <si>
    <t>(　　)建築士事務所(　　)知事登録第　　　号</t>
  </si>
  <si>
    <t>工事監理者の決定
及び変更</t>
  </si>
  <si>
    <t>変更後の工事監理者の資格、
氏名及び建築士事務所名・
所在地</t>
  </si>
  <si>
    <t>工事施工者の決定
及び変更</t>
  </si>
  <si>
    <t>変更後の工事施工者の資格、
氏名及び営業所名・
所在地</t>
  </si>
  <si>
    <t>建設業の許可(　　　　　　)第　 　　　　 号</t>
  </si>
  <si>
    <t>６　変更の理由</t>
  </si>
  <si>
    <t>※受付欄</t>
  </si>
  <si>
    <t>※決裁欄</t>
  </si>
  <si>
    <t>※処理欄</t>
  </si>
  <si>
    <t>住　所</t>
  </si>
  <si>
    <t>届出者</t>
  </si>
  <si>
    <t>センター別記Ｃ－１５号様式</t>
  </si>
  <si>
    <t>建築主、設置者
又は築造主氏名</t>
  </si>
  <si>
    <t>確認受付番号</t>
  </si>
  <si>
    <t>確認受付年月日</t>
  </si>
  <si>
    <t>建築場所、設置場所
又は築造場所</t>
  </si>
  <si>
    <t>取下げ理由</t>
  </si>
  <si>
    <t>※
受
付
欄</t>
  </si>
  <si>
    <t>センター別記Ｃ－２６号様式</t>
  </si>
  <si>
    <t>センター別記Ｃ－３０号様式</t>
  </si>
  <si>
    <t>計画廃止届</t>
  </si>
  <si>
    <t>記載事項変更届</t>
  </si>
  <si>
    <t>取下げ届_確認</t>
  </si>
  <si>
    <t>取下げ届_中間</t>
  </si>
  <si>
    <t>取下げ届_完了</t>
  </si>
  <si>
    <t>徳永</t>
  </si>
  <si>
    <t>日付修正</t>
  </si>
  <si>
    <t>dSHEET修正</t>
  </si>
  <si>
    <t>印刷範囲修正,</t>
  </si>
  <si>
    <t>dSHEET-2対応</t>
  </si>
  <si>
    <t>一般財団法人静岡県建築住宅まちづくりセンター</t>
  </si>
  <si>
    <t>飯島</t>
  </si>
  <si>
    <t>各シート「（一財）」→「一般財団法人」へ変更</t>
  </si>
  <si>
    <t>会社情報 履歴</t>
  </si>
  <si>
    <t>状態</t>
  </si>
  <si>
    <t>履歴</t>
  </si>
  <si>
    <t>開始日</t>
  </si>
  <si>
    <t>会社タイプ</t>
  </si>
  <si>
    <t>代表者名</t>
  </si>
  <si>
    <t>会社名表記名</t>
  </si>
  <si>
    <t>誕生日</t>
  </si>
  <si>
    <t>理事長 　諏訪　久男</t>
  </si>
  <si>
    <t>理事長 　柳　敏幸</t>
  </si>
  <si>
    <t>帳票情報</t>
  </si>
  <si>
    <t>採用情報</t>
  </si>
  <si>
    <t>帳票名</t>
  </si>
  <si>
    <t>Ctrl</t>
  </si>
  <si>
    <t>検査結果</t>
  </si>
  <si>
    <t>会社名２</t>
  </si>
  <si>
    <t>cst_Pre_Corp__SHINSEI</t>
  </si>
  <si>
    <t>cst_Pre_Daihyou__SHINSEI</t>
  </si>
  <si>
    <t>理事長名変更対応（2021/6/29付け）</t>
  </si>
  <si>
    <t>主要用途の区分</t>
  </si>
  <si>
    <t>記号</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</si>
  <si>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</si>
  <si>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</si>
  <si>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</si>
  <si>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</si>
  <si>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</si>
  <si>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農林水産業</t>
  </si>
  <si>
    <t>農業，林業，漁業，水産養殖業</t>
  </si>
  <si>
    <t>鉱業，採石業，砂利採取業，建設業</t>
  </si>
  <si>
    <t>鉱業，採石業，砂利採取業</t>
  </si>
  <si>
    <t>建設業</t>
  </si>
  <si>
    <t>製造業</t>
  </si>
  <si>
    <t>食料品製造業，飲料・たばこ・飼料製造業，繊維工業，木材・木製品製造業，家具・装備品製造業，パルプ・紙・紙加工品製造業，印刷・同関連業，プラスチック製品製造業（記号１５から記号１８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</si>
  <si>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</si>
  <si>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</si>
  <si>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</si>
  <si>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</si>
  <si>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電気・ガス・熱供給・水道業</t>
  </si>
  <si>
    <t>電気業</t>
  </si>
  <si>
    <t>ガス業</t>
  </si>
  <si>
    <t>熱供給業</t>
  </si>
  <si>
    <t>水道業</t>
  </si>
  <si>
    <t>情報通信業</t>
  </si>
  <si>
    <t>通信業</t>
  </si>
  <si>
    <t>放送業，情報サービス業，インターネット附随サービス業</t>
  </si>
  <si>
    <t>映像・音声・文字情報製作業（新聞業及び出版業を除く。）</t>
  </si>
  <si>
    <t>映像・音声・文字情報製作業（新聞業及び出版業に限る。）</t>
  </si>
  <si>
    <t>運輸業</t>
  </si>
  <si>
    <t>鉄道業，道路旅客運送業，道路貨物運送業，水運業，航空運輸業，倉庫業，運輸に附帯するサービス業</t>
  </si>
  <si>
    <t>卸売業，小売業</t>
  </si>
  <si>
    <t>金融業，保険業</t>
  </si>
  <si>
    <t>不動産業</t>
  </si>
  <si>
    <t>不動産取引業，不動産賃貸業・管理業（駐車場業を除く。）</t>
  </si>
  <si>
    <t>不動産賃貸業・管理業（駐車場業に限る。）</t>
  </si>
  <si>
    <t>宿泊業，飲食サービス業</t>
  </si>
  <si>
    <t>宿泊業</t>
  </si>
  <si>
    <t>飲食店，持ち帰り・配達飲食サービス業</t>
  </si>
  <si>
    <t>教育，学習支援業</t>
  </si>
  <si>
    <t>学校教育</t>
  </si>
  <si>
    <t>その他の教育，学習支援業（社会教育に限る。）</t>
  </si>
  <si>
    <t>その他の教育，学習支援業（学習塾及び教養・技能教授業に限る。）</t>
  </si>
  <si>
    <t>その他の教育及び学習支援業（記号３５及び記号３６に該当するものを除く。）</t>
  </si>
  <si>
    <t>医療，福祉</t>
  </si>
  <si>
    <t>医療業，保健衛生</t>
  </si>
  <si>
    <t>社会保険・社会福祉・介護事業</t>
  </si>
  <si>
    <t>その他のサービス業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</si>
  <si>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</si>
  <si>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</si>
  <si>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</si>
  <si>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</si>
  <si>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</si>
  <si>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４１及び記号４４に該当するものを除く。）</t>
  </si>
  <si>
    <t>国家公務，地方公務</t>
  </si>
  <si>
    <t>他に分類されないもの</t>
  </si>
  <si>
    <t>選択コード</t>
  </si>
  <si>
    <t>建築工事届_主要用途</t>
  </si>
  <si>
    <t>（1） - 工事種別が新築のみ表示</t>
  </si>
  <si>
    <t>cst_wskakunin_SHIKITI_MENSEKI_1_TOTAL_sintiku</t>
  </si>
  <si>
    <t>【電話番号】</t>
  </si>
  <si>
    <t>【住所】</t>
  </si>
  <si>
    <t>【郵便番号】</t>
  </si>
  <si>
    <t>【氏名】</t>
  </si>
  <si>
    <t>【委任者】</t>
  </si>
  <si>
    <t>【３．建築物等の名称】</t>
  </si>
  <si>
    <t>【２．敷地の地名地番】</t>
  </si>
  <si>
    <t>その他（</t>
  </si>
  <si>
    <t>住宅金融支援機構検査申請（フラット35）業務</t>
  </si>
  <si>
    <t>取止・取下届提出業務</t>
  </si>
  <si>
    <t>仮使用認定申請業務</t>
  </si>
  <si>
    <t>完了検査申請業務</t>
  </si>
  <si>
    <t>中間検査申請業務</t>
  </si>
  <si>
    <t>確認申請（計画変更確認を含む）業務</t>
  </si>
  <si>
    <t>【１．委任する業務】</t>
  </si>
  <si>
    <t>私は上記の者を代理人と定め、下記の申請及びこれに付随する手続きの一切を委任します。</t>
  </si>
  <si>
    <t>【会社名】</t>
  </si>
  <si>
    <t>【代理人】</t>
  </si>
  <si>
    <t>委　　任　　状</t>
  </si>
  <si>
    <t>１１欄のＢＯＤとは、生物化学的酸素要求量をいいます。</t>
  </si>
  <si>
    <t>１０欄については、大臣認定を受けたし尿浄化槽である場合は、処理方法のみを記入してください。</t>
  </si>
  <si>
    <t>記入してください。</t>
  </si>
  <si>
    <t>浄化槽工事業者が未定の場合は、２欄及び３欄には未定と記入してください。</t>
  </si>
  <si>
    <t>選択事項は、該当するものを◯で囲んでください。</t>
  </si>
  <si>
    <t>＊印のある欄は、記入しないでください。</t>
  </si>
  <si>
    <t>(注)</t>
  </si>
  <si>
    <t>動力</t>
  </si>
  <si>
    <t>：</t>
  </si>
  <si>
    <t>自然</t>
  </si>
  <si>
    <t>放流方法</t>
  </si>
  <si>
    <t>放流先</t>
  </si>
  <si>
    <t>放流水</t>
  </si>
  <si>
    <t>m3/日</t>
  </si>
  <si>
    <t>水量</t>
  </si>
  <si>
    <t>mg/Ｌ</t>
  </si>
  <si>
    <t>BOD</t>
  </si>
  <si>
    <t>水質</t>
  </si>
  <si>
    <t>処理方法</t>
  </si>
  <si>
    <t>し尿浄化槽の構造方法</t>
  </si>
  <si>
    <t>）の（</t>
  </si>
  <si>
    <t>第（</t>
  </si>
  <si>
    <t>昭和55年建設省告示第1292号の区分</t>
  </si>
  <si>
    <t>人槽</t>
  </si>
  <si>
    <t>し尿浄化槽の規模</t>
  </si>
  <si>
    <t>認定番号</t>
  </si>
  <si>
    <t>型</t>
  </si>
  <si>
    <t>認定番号　</t>
  </si>
  <si>
    <t>し尿浄化槽の種類</t>
  </si>
  <si>
    <t>名称</t>
  </si>
  <si>
    <t>型式認定浄化槽</t>
  </si>
  <si>
    <t>①</t>
  </si>
  <si>
    <t>合併処理</t>
  </si>
  <si>
    <t>・</t>
  </si>
  <si>
    <t>単独処理</t>
  </si>
  <si>
    <t>単独処理・合併処理の別</t>
  </si>
  <si>
    <t>故に</t>
  </si>
  <si>
    <t>人</t>
  </si>
  <si>
    <t>合計人員</t>
  </si>
  <si>
    <t>算定式</t>
  </si>
  <si>
    <t>算定根拠</t>
  </si>
  <si>
    <t>処理対象人員</t>
  </si>
  <si>
    <t>）用途（</t>
  </si>
  <si>
    <t>番号（</t>
  </si>
  <si>
    <t>建築物の用途</t>
  </si>
  <si>
    <t>設置場所</t>
  </si>
  <si>
    <t>浄化槽設備士の氏名</t>
  </si>
  <si>
    <t>第</t>
  </si>
  <si>
    <t>免状交付番号</t>
  </si>
  <si>
    <t>知事（</t>
  </si>
  <si>
    <t>登録又は届出番号</t>
  </si>
  <si>
    <t>及び営業所名・所在地</t>
  </si>
  <si>
    <t>浄化槽工事業者の氏名</t>
  </si>
  <si>
    <t>建築主の住所及び氏名</t>
  </si>
  <si>
    <t>受理年月日　　　</t>
  </si>
  <si>
    <t>＊</t>
  </si>
  <si>
    <t>保健所長</t>
  </si>
  <si>
    <t>計画通知書</t>
  </si>
  <si>
    <t>を受理したので、建築基準法第93条第５項の規定により通知します</t>
  </si>
  <si>
    <t>し尿浄化槽に関する</t>
  </si>
  <si>
    <t>確認申請書</t>
  </si>
  <si>
    <t>し 尿 浄 化 槽 に 関 す る 通 知 書</t>
  </si>
  <si>
    <t>センター別記Ｃ－１１号様式(A4)</t>
  </si>
  <si>
    <t>〇</t>
  </si>
  <si>
    <t>し 尿 浄 化 槽 の 概 要 書</t>
  </si>
  <si>
    <t>センター別記C-10号様式(A4)</t>
  </si>
  <si>
    <t>次のとおり確認申請書記載事項を変更したので一般財団法人静岡県建築住宅まちづくりセンター確認検査　　</t>
  </si>
  <si>
    <t>業務規程により届けます。　　</t>
  </si>
  <si>
    <t>(注４)４、５欄において、内容が書ききれない場合は別に記載して添えてください。</t>
  </si>
  <si>
    <t>(注３)５欄には添付図面等の名称と記載内容をまとめてください。</t>
  </si>
  <si>
    <t>(注２)４欄には軽微な変更の概要を項目ごとに箇条書きしてください。</t>
  </si>
  <si>
    <t>(注１)この説明書は検査申請書に添えて提出してください。</t>
  </si>
  <si>
    <t>５．添付図書リスト</t>
  </si>
  <si>
    <t>４．軽微な変更の概要</t>
  </si>
  <si>
    <t>３．確認番号等</t>
  </si>
  <si>
    <t>２．確認年月日</t>
  </si>
  <si>
    <t>　建築・設置・築造場所</t>
  </si>
  <si>
    <t>1．建築主氏名</t>
  </si>
  <si>
    <t>軽微な変更説明書</t>
  </si>
  <si>
    <t>センター別記Ｃ－３２号様式</t>
  </si>
  <si>
    <t>に申し込みしました確認申請については、都合により取り下げますので</t>
  </si>
  <si>
    <t>一般財団法人静岡県建築住宅まちづくりセンター確認検査業務規程により届けます。</t>
  </si>
  <si>
    <t>に申し込みしました中間検査の申請については、都合により取り下げ</t>
  </si>
  <si>
    <t>ますので、一般財団法人静岡県建築住宅まちづくりセンター確認検査業務規程により届けます。</t>
  </si>
  <si>
    <t>に申し込みしました完了検査の申請については、都合により取り下げ</t>
  </si>
  <si>
    <t>浄化槽概要書・通知書_静岡県</t>
  </si>
  <si>
    <t>修正依頼対応（210629-2）</t>
  </si>
  <si>
    <t>dAName</t>
  </si>
  <si>
    <t>氏　名</t>
  </si>
  <si>
    <t xml:space="preserve">住所 </t>
  </si>
  <si>
    <t xml:space="preserve">氏名 </t>
  </si>
  <si>
    <t>確認申請書取下げ届</t>
  </si>
  <si>
    <t>中間検査申請取下げ届</t>
  </si>
  <si>
    <t>完了検査申請取下げ届</t>
  </si>
  <si>
    <t>【1.着工及び工事完了の予定期日】</t>
  </si>
  <si>
    <t>【イ.着工予定期日】</t>
  </si>
  <si>
    <t>【ロ.工事完了予定期日】</t>
  </si>
  <si>
    <t>【2.建築主】</t>
  </si>
  <si>
    <t>【イ.建築主の種別】</t>
  </si>
  <si>
    <t>【ロ.資本の額又は出資の総額】</t>
  </si>
  <si>
    <t>(1)1,000万円以下</t>
  </si>
  <si>
    <t>(2)1,000万円超～3,000万円以下</t>
  </si>
  <si>
    <t>(3)3,000万円超～1億円以下</t>
  </si>
  <si>
    <t>(4)1億円超～10億円以下</t>
  </si>
  <si>
    <t>(5)10億円超</t>
  </si>
  <si>
    <t>【3.敷地の位置】</t>
  </si>
  <si>
    <t>多用途</t>
  </si>
  <si>
    <t>【ニ．工事の予定期間】</t>
  </si>
  <si>
    <t>月間)</t>
  </si>
  <si>
    <t>【ホ.工事部分の</t>
  </si>
  <si>
    <t>【ヘ.建築工事費予定額】</t>
  </si>
  <si>
    <t>【ト.新築工事の場合における地上の階数】</t>
  </si>
  <si>
    <t>【チ.新築工事の場合における地下の階数】</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</si>
  <si>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</si>
  <si>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</si>
  <si>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</si>
  <si>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</si>
  <si>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</si>
  <si>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</si>
  <si>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</si>
  <si>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</si>
  <si>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</si>
  <si>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</si>
  <si>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【ホ.住宅の種類】</t>
  </si>
  <si>
    <t>【ヘ.住宅の建て方】</t>
  </si>
  <si>
    <t>(3)共同住宅</t>
  </si>
  <si>
    <t>【ト.利用関係】</t>
  </si>
  <si>
    <t>【チ.住宅の戸数】</t>
  </si>
  <si>
    <t>【リ.工事部分の</t>
  </si>
  <si>
    <t>【2.除却原因】</t>
  </si>
  <si>
    <t>【3.構造】</t>
  </si>
  <si>
    <t>法改正対応</t>
  </si>
  <si>
    <t>建築工事届_主要用途　第四面用設定追加</t>
  </si>
  <si>
    <t>工事監理計画届</t>
  </si>
  <si>
    <t>取下げ届</t>
  </si>
  <si>
    <t>修正依頼（6/6依頼分）</t>
  </si>
  <si>
    <t>「(1)居住専用建築物」に該当する場合</t>
  </si>
  <si>
    <t>「(2)居住産業併用建築物」又は「(3)産業専用建築物」に該当する場合</t>
  </si>
  <si>
    <t>11</t>
  </si>
  <si>
    <t>12</t>
  </si>
  <si>
    <t>13</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</si>
  <si>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</si>
  <si>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14</t>
  </si>
  <si>
    <t>15</t>
  </si>
  <si>
    <t>16</t>
  </si>
  <si>
    <t>17</t>
  </si>
  <si>
    <t>18</t>
  </si>
  <si>
    <t>19</t>
  </si>
  <si>
    <t>20</t>
  </si>
  <si>
    <t>21</t>
  </si>
  <si>
    <t>22</t>
  </si>
  <si>
    <t>23</t>
  </si>
  <si>
    <t>24</t>
  </si>
  <si>
    <t>映像・音声・文字情報制作業（新聞業及び出版業を除く。）</t>
  </si>
  <si>
    <t>25</t>
  </si>
  <si>
    <t>映像・音声・文字情報制作業（新聞業及び出版業に限る。）</t>
  </si>
  <si>
    <t>26</t>
  </si>
  <si>
    <t>27</t>
  </si>
  <si>
    <t>卸売業、小売業</t>
  </si>
  <si>
    <t>卸売業,小売業</t>
  </si>
  <si>
    <t>28</t>
  </si>
  <si>
    <t>金融業、保険業</t>
  </si>
  <si>
    <t>金融業,保険業</t>
  </si>
  <si>
    <t>29</t>
  </si>
  <si>
    <t>不動産取引業，不動産賃貸業・管理業（駐車場業を除
く。）</t>
  </si>
  <si>
    <t>30</t>
  </si>
  <si>
    <t>31</t>
  </si>
  <si>
    <t>宿泊業、飲食サービス業</t>
  </si>
  <si>
    <t>32</t>
  </si>
  <si>
    <t>33</t>
  </si>
  <si>
    <t>教育、学習支援業</t>
  </si>
  <si>
    <t>34</t>
  </si>
  <si>
    <t>35</t>
  </si>
  <si>
    <t>36</t>
  </si>
  <si>
    <t>その他の教育及び学習支援業（記号35及び記号36に該当するものを除く。）</t>
  </si>
  <si>
    <t>37</t>
  </si>
  <si>
    <t>医療、福祉</t>
  </si>
  <si>
    <t>38</t>
  </si>
  <si>
    <t>39</t>
  </si>
  <si>
    <t>40</t>
  </si>
  <si>
    <t>41</t>
  </si>
  <si>
    <t>42</t>
  </si>
  <si>
    <t>43</t>
  </si>
  <si>
    <t>44</t>
  </si>
  <si>
    <t>物品賃貸業，専門サービス業，広告業，技術サービス業，洗濯・理容・美容・浴場業，その他の生活関連サービス業（旅行業を除く。），協同組合，サービス業（他に分類されないもの）(記号41及び記号44に該当するものを除く。）</t>
  </si>
  <si>
    <t>45</t>
  </si>
  <si>
    <t>国家公務、地方公務</t>
  </si>
  <si>
    <t>46</t>
  </si>
  <si>
    <t>99</t>
  </si>
  <si>
    <t>工 事 監 理 計 画 届</t>
  </si>
  <si>
    <t>一般財団法人　静岡県建築住宅まちづくりセンタ－</t>
  </si>
  <si>
    <t>　次の通り工事監理計画を届け出ます。</t>
  </si>
  <si>
    <t>確認を行う部位、材料の種類等</t>
  </si>
  <si>
    <t>照合を行う設計図書</t>
  </si>
  <si>
    <t>敷地の形状、高さ、衛生及び安全</t>
  </si>
  <si>
    <t>主要構造部及び主要構造部以外の構造耐力上主要な部分に用いる材料（接合材料を含む。）の種類、品質、形状及び寸法</t>
  </si>
  <si>
    <t>主要構造部及び主要構造部以外の構造耐力上必要な部分に用いる材料の接合状況、接合部分の形状等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</si>
  <si>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</si>
  <si>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</si>
  <si>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</si>
  <si>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</si>
  <si>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</si>
  <si>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</si>
  <si>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</si>
  <si>
    <t>出力帳票が見つかりません</t>
  </si>
  <si>
    <t>EXCEL作成で作成可能な書類</t>
  </si>
  <si>
    <t>検査申請</t>
  </si>
  <si>
    <t>中間</t>
  </si>
  <si>
    <t>完了</t>
  </si>
  <si>
    <t>仮使用</t>
  </si>
  <si>
    <t>〇※</t>
  </si>
  <si>
    <t>×</t>
  </si>
  <si>
    <t>浄化槽概要書・通知書（静岡県版）</t>
  </si>
  <si>
    <t>※計画変更の場合は作成不要</t>
  </si>
  <si>
    <t>様式未設定</t>
  </si>
  <si>
    <t>仮使用のとき取下げ届出力</t>
  </si>
  <si>
    <t>＊　</t>
  </si>
  <si>
    <t>修正依頼（6/6依頼分）修正</t>
  </si>
  <si>
    <t>連絡担当者票</t>
  </si>
  <si>
    <t>連絡担当者</t>
  </si>
  <si>
    <t>TEL</t>
  </si>
  <si>
    <t>FAX</t>
  </si>
  <si>
    <t>携帯</t>
  </si>
  <si>
    <t>希望検査日</t>
  </si>
  <si>
    <t>適合証明（フラット35）</t>
  </si>
  <si>
    <t>利用</t>
  </si>
  <si>
    <t>有</t>
  </si>
  <si>
    <t>無</t>
  </si>
  <si>
    <t>実施</t>
  </si>
  <si>
    <t>省略</t>
  </si>
  <si>
    <t>消防検査</t>
  </si>
  <si>
    <t>連絡担当者票（検査）</t>
  </si>
  <si>
    <t>会社（改行）+役職（スペース）+氏名</t>
  </si>
  <si>
    <t>〒</t>
  </si>
  <si>
    <t>１　届出者住所は、建築主の住所、法人にあっては、その主たる事務所の所在地を記入すること。</t>
  </si>
  <si>
    <t>３　※印欄には、記入しないこと。</t>
  </si>
  <si>
    <t>２　届出者氏名は、建築主の氏名、法人にあっては、その名称及び代表者の氏名を記入すること。</t>
  </si>
  <si>
    <t>仮使用認定取下げ届</t>
  </si>
  <si>
    <t>センター別記Ｃ－３５号様式</t>
  </si>
  <si>
    <t>取下げ届_仮使用</t>
  </si>
  <si>
    <t>修正依頼（6/16分）</t>
  </si>
  <si>
    <t>工事届　西暦統一</t>
  </si>
  <si>
    <t>に申し込みしました仮使用認定の申請については、都合により取り</t>
  </si>
  <si>
    <t>下げますので、一般財団法人静岡県建築住宅まちづくりセンター確認検査業務規程により届けます。</t>
  </si>
  <si>
    <t>敷地の地名地番又は設置する建築物若しくは工作物の所在地及び名称</t>
  </si>
  <si>
    <t>第　　　　　　　号</t>
  </si>
  <si>
    <t>【追加の届出者】</t>
  </si>
  <si>
    <t>cst_wskakunin_owner2__address</t>
  </si>
  <si>
    <t>二ページ目　建築主別紙追加</t>
  </si>
  <si>
    <t>工 事 監 理 計 画 届  （ 別 紙 ）</t>
  </si>
  <si>
    <t>軽微な変更説明書（別紙）</t>
  </si>
  <si>
    <t>確認申請書取下げ届 （ 別 紙 ）</t>
  </si>
  <si>
    <t>中間検査申請取下げ届（ 別 紙 ）</t>
  </si>
  <si>
    <t>完了検査申請取下げ届（ 別 紙 ）</t>
  </si>
  <si>
    <t>仮使用認定取下げ届 （ 別 紙 ）</t>
  </si>
  <si>
    <t>計 画 廃 止 届  （ 別 紙 ）</t>
  </si>
  <si>
    <t>届出者別紙</t>
  </si>
  <si>
    <t>今回申請以前の中間検査（有/無）</t>
  </si>
  <si>
    <t>cst_wskakunin_koutei_izen01_umu</t>
  </si>
  <si>
    <t>検査経過（有/無）</t>
  </si>
  <si>
    <t>cst_wskakunin_koutei01_umu</t>
  </si>
  <si>
    <t>上記別シートに変更、軽微な変更届文章リンク先変更</t>
  </si>
  <si>
    <t>２ 届出者氏名は、建築主の氏名、法人にあっては、その名称及び代表者の氏名を記入すること。</t>
  </si>
  <si>
    <t>１ 届出者住所は、建築主の住所、法人にあっては、その主たる事務所の所在地を記入すること。</t>
  </si>
  <si>
    <t>３ ※印欄には、記入しないこと。</t>
  </si>
  <si>
    <t>記載事項変更届　修正</t>
  </si>
  <si>
    <t>建築主1</t>
  </si>
  <si>
    <t>**wssonota_owner1_JIMU_NAME</t>
  </si>
  <si>
    <t>**wssonota_owner1_JIMU_NAME_KANA</t>
  </si>
  <si>
    <t>**wssonota_owner1_POST</t>
  </si>
  <si>
    <t>**wssonota_owner1_POST_KANA</t>
  </si>
  <si>
    <t>**wssonota_owner1_NAME</t>
  </si>
  <si>
    <t>**wssonota_owner1_NAME_KANA</t>
  </si>
  <si>
    <t>**wssonota_owner1_ZIP</t>
  </si>
  <si>
    <t>**wssonota_owner1__address</t>
  </si>
  <si>
    <t>**wssonota_owner1_TEL</t>
  </si>
  <si>
    <t>cst_wssonota_owner1__address</t>
  </si>
  <si>
    <t>cst_wssonota_owner1_JIMU_NAME</t>
  </si>
  <si>
    <t>cst_wssonota_owner1_POST</t>
  </si>
  <si>
    <t>cst_wssonota_owner1_NAME</t>
  </si>
  <si>
    <t>会社名〈改行〉役職〈ｽﾍﾟｰｽ〉氏名</t>
  </si>
  <si>
    <t>cst_wssonota_owner1__space</t>
  </si>
  <si>
    <t>cst_wssonota_owner1_ZIP</t>
  </si>
  <si>
    <t>cst_wssonota_owner1_TEL</t>
  </si>
  <si>
    <t>㎡)</t>
  </si>
  <si>
    <t>建築工事届　㎡単位抜け修正</t>
  </si>
  <si>
    <t>建築工事届  （ 別 紙 ）</t>
  </si>
  <si>
    <t>【追加の建築主】</t>
  </si>
  <si>
    <t>cst_wskakunin_owner3__space3</t>
  </si>
  <si>
    <t>建築主別紙</t>
  </si>
  <si>
    <t>建築工事届　建築主2以降がいる場合は建築主別紙表示</t>
  </si>
  <si>
    <t>**wsjob__address</t>
  </si>
  <si>
    <t>**wsjob_BUILD__address</t>
  </si>
  <si>
    <t>**wsjob_BUILD_KEN</t>
  </si>
  <si>
    <t>**wsjob_BUILD_ADDRESS</t>
  </si>
  <si>
    <t>cst_wsjob__address</t>
  </si>
  <si>
    <t>cst_wsjob_BUILD__address</t>
  </si>
  <si>
    <t>cst_wsjob_BUILD_KEN</t>
  </si>
  <si>
    <t>cst_wsjob_BUILD_ADDRESS</t>
  </si>
  <si>
    <t>都道府県+住所</t>
  </si>
  <si>
    <t>都道府県</t>
  </si>
  <si>
    <t>※市町村コードで出力される</t>
  </si>
  <si>
    <t>仮使用時の帳票（委任状/取下げ届）に添付方式時のセル名追加</t>
  </si>
  <si>
    <t>委任状E18～E20の条件をcst_wsjob_JOB_KIND="その他申請"に変更</t>
  </si>
  <si>
    <t>番号欄　入力に第号がある時は帳票に第号表示しない（入力がない場合は表示）処理</t>
  </si>
  <si>
    <t>cst_wskakunin_LAST_ISSUE_NO　関数修正</t>
  </si>
  <si>
    <t>６欄の算定根拠欄には、日本産業規格Ａ3302の該当類似用途別番号及び用途並びに処理対象人員の算定式を</t>
  </si>
  <si>
    <t>浄化槽概要書・通知書_静岡県　日本工業規格⇒日本産業規格　誤字修正</t>
  </si>
  <si>
    <t>2022確認建築静建住ま10505</t>
  </si>
  <si>
    <t>2022確中建築静建住ま10505</t>
  </si>
  <si>
    <t>静岡県静岡市葵区平和二丁目215-8</t>
  </si>
  <si>
    <t>静岡市葵区平和二丁目215-8</t>
  </si>
  <si>
    <t>菅野　幸子</t>
  </si>
  <si>
    <t>静岡県</t>
  </si>
  <si>
    <t>菅野　幸子　様邸　新築工事</t>
  </si>
  <si>
    <t>スガノ サチコ サマテイ シンチクコウジ</t>
  </si>
  <si>
    <t>静岡県焼津市柳新屋648-2</t>
  </si>
  <si>
    <t>一級建築士大臣登録第291061号</t>
  </si>
  <si>
    <t>一級建築士事務所静岡県知事登録第(6)4774号</t>
  </si>
  <si>
    <t>株式会社山田工務店　一級建築士事務所</t>
  </si>
  <si>
    <t>(6)4774</t>
  </si>
  <si>
    <t>291061</t>
  </si>
  <si>
    <t>木村　賢</t>
  </si>
  <si>
    <t>054-621-5656</t>
  </si>
  <si>
    <t>425-0074</t>
  </si>
  <si>
    <t>0</t>
  </si>
  <si>
    <t>二級建築士静岡県知事登録第20124号</t>
  </si>
  <si>
    <t>20124</t>
  </si>
  <si>
    <t>川口　賢二</t>
  </si>
  <si>
    <t>一般財団法人静岡県建築住宅まちづくりセンター 理事長　柳　敏幸</t>
  </si>
  <si>
    <t>静岡県静岡市葵区新伝馬二丁目8-41-101</t>
  </si>
  <si>
    <t>スガノ サチコ</t>
  </si>
  <si>
    <t>090-9183-9120</t>
  </si>
  <si>
    <t>420-0944</t>
  </si>
  <si>
    <t>株式会社　山田工務店</t>
  </si>
  <si>
    <t>代表取締役　山田　耕治</t>
  </si>
  <si>
    <t>静岡県知事第(般-4)5640号</t>
  </si>
  <si>
    <t>(般-4)5640</t>
  </si>
  <si>
    <t>054-621-3838</t>
  </si>
  <si>
    <t>1</t>
  </si>
  <si>
    <t>完了検査・仮使用認定の際には記載ください</t>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</si>
</sst>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176" formatCode="yyyy/m/d;@"/>
    <numFmt numFmtId="177" formatCode="#,##0.00_ "/>
    <numFmt numFmtId="178" formatCode="#,##0.000_ "/>
    <numFmt numFmtId="179" formatCode="0000"/>
    <numFmt numFmtId="180" formatCode="[$-411]ggge&quot;年&quot;m&quot;月&quot;d&quot;日&quot;;@"/>
    <numFmt numFmtId="181" formatCode="#,##0.00_);[Red]\(#,##0.00\)"/>
    <numFmt numFmtId="182" formatCode="yyyy/mm/dd"/>
    <numFmt numFmtId="183" formatCode="[$-411]ggge&quot;年&quot;mm&quot;月&quot;dd&quot;日 ( &quot;aaa&quot; )&quot;;@"/>
    <numFmt numFmtId="184" formatCode="[$-F800]dddd\,\ mmmm\ dd\,\ yyyy"/>
    <numFmt numFmtId="185" formatCode="[&lt;=43585]gggee&quot;年&quot;mm&quot;月&quot;dd&quot;日&quot;;[&gt;=43831]gggee&quot;年&quot;mm&quot;月&quot;dd&quot;日&quot;;ggg&quot;元年&quot;mm&quot;月&quot;dd&quot;日&quot;"/>
    <numFmt numFmtId="186" formatCode="0.0"/>
    <numFmt numFmtId="187" formatCode="0_);\(0\)"/>
    <numFmt numFmtId="188" formatCode="[$]ggge&quot;年&quot;m&quot;月&quot;d&quot;日&quot;;@"/>
    <numFmt numFmtId="189" formatCode="ggg"/>
    <numFmt numFmtId="190" formatCode="m"/>
    <numFmt numFmtId="191" formatCode="d"/>
    <numFmt numFmtId="192" formatCode="0_);[Red]\(0\)"/>
    <numFmt numFmtId="193" formatCode="yyyy"/>
  </numFmts>
  <fonts count="60">
    <font>
      <sz val="11"/>
      <color theme="1"/>
      <name val="ＭＳ Ｐゴシック"/>
      <charset val="128"/>
    </font>
    <font>
      <sz val="11"/>
      <color theme="1"/>
      <name val="ＭＳ Ｐゴシック"/>
      <charset val="128"/>
      <scheme val="minor"/>
    </font>
    <font>
      <sz val="11"/>
      <color indexed="8"/>
      <name val="ＭＳ Ｐゴシック"/>
      <charset val="128"/>
    </font>
    <font>
      <sz val="11"/>
      <color theme="1"/>
      <name val="ＭＳ Ｐゴシック"/>
      <charset val="128"/>
    </font>
    <font>
      <sz val="10"/>
      <color theme="1"/>
      <name val="ＭＳ Ｐゴシック"/>
      <charset val="128"/>
    </font>
    <font>
      <sz val="12"/>
      <color theme="1"/>
      <name val="ＭＳ Ｐゴシック"/>
      <charset val="128"/>
    </font>
    <font>
      <sz val="9"/>
      <color theme="1"/>
      <name val="ＭＳ Ｐゴシック"/>
      <charset val="128"/>
    </font>
    <font>
      <sz val="9"/>
      <color theme="1"/>
      <name val="ＭＳ Ｐ明朝"/>
      <charset val="128"/>
    </font>
    <font>
      <sz val="11"/>
      <color theme="1"/>
      <name val="ＭＳ Ｐ明朝"/>
      <charset val="128"/>
    </font>
    <font>
      <sz val="8"/>
      <color theme="1"/>
      <name val="ＭＳ Ｐ明朝"/>
      <charset val="128"/>
    </font>
    <font>
      <sz val="11"/>
      <color indexed="8"/>
      <name val="ＭＳ 明朝"/>
      <charset val="128"/>
    </font>
    <font>
      <sz val="11"/>
      <color theme="1"/>
      <name val="ＭＳ 明朝"/>
      <charset val="128"/>
    </font>
    <font>
      <sz val="10"/>
      <color theme="1"/>
      <name val="ＭＳ 明朝"/>
      <charset val="128"/>
    </font>
    <font>
      <b/>
      <sz val="18"/>
      <color theme="1"/>
      <name val="ＭＳ ゴシック"/>
      <charset val="128"/>
    </font>
    <font>
      <sz val="10.5"/>
      <color theme="1"/>
      <name val="ＭＳ 明朝"/>
      <charset val="128"/>
    </font>
    <font>
      <sz val="9"/>
      <color indexed="10"/>
      <name val="ＭＳ Ｐゴシック"/>
      <charset val="128"/>
    </font>
    <font>
      <sz val="8"/>
      <color theme="1"/>
      <name val="ＭＳ 明朝"/>
      <charset val="128"/>
    </font>
    <font>
      <sz val="9"/>
      <color indexed="8"/>
      <name val="ＭＳ Ｐゴシック"/>
      <charset val="128"/>
    </font>
    <font>
      <sz val="10"/>
      <color rgb="FFFF0000"/>
      <name val="ＭＳ Ｐゴシック"/>
      <charset val="128"/>
    </font>
    <font>
      <u/>
      <sz val="11"/>
      <color theme="10"/>
      <name val="ＭＳ Ｐゴシック"/>
      <charset val="128"/>
      <scheme val="minor"/>
    </font>
    <font>
      <sz val="9"/>
      <color indexed="9"/>
      <name val="ＭＳ Ｐゴシック"/>
      <charset val="128"/>
    </font>
    <font>
      <b/>
      <sz val="18"/>
      <color indexed="56"/>
      <name val="ＭＳ Ｐゴシック"/>
      <charset val="128"/>
    </font>
    <font>
      <b/>
      <sz val="9"/>
      <color indexed="9"/>
      <name val="ＭＳ Ｐゴシック"/>
      <charset val="128"/>
    </font>
    <font>
      <sz val="9"/>
      <color indexed="60"/>
      <name val="ＭＳ Ｐゴシック"/>
      <charset val="128"/>
    </font>
    <font>
      <sz val="9"/>
      <color indexed="52"/>
      <name val="ＭＳ Ｐゴシック"/>
      <charset val="128"/>
    </font>
    <font>
      <sz val="9"/>
      <color indexed="20"/>
      <name val="ＭＳ Ｐゴシック"/>
      <charset val="128"/>
    </font>
    <font>
      <b/>
      <sz val="9"/>
      <color indexed="52"/>
      <name val="ＭＳ Ｐゴシック"/>
      <charset val="128"/>
    </font>
    <font>
      <b/>
      <sz val="15"/>
      <color indexed="56"/>
      <name val="ＭＳ Ｐゴシック"/>
      <charset val="128"/>
    </font>
    <font>
      <b/>
      <sz val="13"/>
      <color indexed="56"/>
      <name val="ＭＳ Ｐゴシック"/>
      <charset val="128"/>
    </font>
    <font>
      <b/>
      <sz val="11"/>
      <color indexed="56"/>
      <name val="ＭＳ Ｐゴシック"/>
      <charset val="128"/>
    </font>
    <font>
      <b/>
      <sz val="9"/>
      <color indexed="8"/>
      <name val="ＭＳ Ｐゴシック"/>
      <charset val="128"/>
    </font>
    <font>
      <b/>
      <sz val="9"/>
      <color indexed="63"/>
      <name val="ＭＳ Ｐゴシック"/>
      <charset val="128"/>
    </font>
    <font>
      <i/>
      <sz val="9"/>
      <color indexed="23"/>
      <name val="ＭＳ Ｐゴシック"/>
      <charset val="128"/>
    </font>
    <font>
      <sz val="9"/>
      <color indexed="62"/>
      <name val="ＭＳ Ｐゴシック"/>
      <charset val="128"/>
    </font>
    <font>
      <sz val="9"/>
      <color indexed="17"/>
      <name val="ＭＳ Ｐゴシック"/>
      <charset val="128"/>
    </font>
    <font>
      <sz val="10"/>
      <color indexed="8"/>
      <name val="ＭＳ Ｐゴシック"/>
      <charset val="128"/>
    </font>
    <font>
      <sz val="9"/>
      <color rgb="FFFF0000"/>
      <name val="ＭＳ Ｐゴシック"/>
      <charset val="128"/>
    </font>
    <font>
      <sz val="16"/>
      <color theme="1"/>
      <name val="ＭＳ 明朝"/>
      <charset val="128"/>
    </font>
    <font>
      <sz val="14"/>
      <color theme="1"/>
      <name val="ＭＳ 明朝"/>
      <charset val="128"/>
    </font>
    <font>
      <b/>
      <sz val="10.5"/>
      <color theme="1"/>
      <name val="ＭＳ 明朝"/>
      <charset val="128"/>
    </font>
    <font>
      <sz val="11"/>
      <color theme="1"/>
      <name val="明朝"/>
      <charset val="128"/>
    </font>
    <font>
      <sz val="9"/>
      <color theme="1"/>
      <name val="明朝"/>
      <charset val="128"/>
    </font>
    <font>
      <sz val="10"/>
      <color theme="1"/>
      <name val="明朝"/>
      <charset val="128"/>
    </font>
    <font>
      <sz val="12"/>
      <color theme="1"/>
      <name val="明朝"/>
      <charset val="128"/>
    </font>
    <font>
      <sz val="14"/>
      <color theme="1"/>
      <name val="明朝"/>
      <charset val="128"/>
    </font>
    <font>
      <strike/>
      <sz val="9"/>
      <color theme="1"/>
      <name val="明朝"/>
      <charset val="128"/>
    </font>
    <font>
      <sz val="16"/>
      <color theme="1"/>
      <name val="明朝"/>
      <charset val="128"/>
    </font>
    <font>
      <sz val="9"/>
      <color theme="1"/>
      <name val="ＭＳ 明朝"/>
      <family val="1"/>
      <charset val="128"/>
    </font>
    <font>
      <b/>
      <sz val="9"/>
      <color indexed="81"/>
      <name val="ＭＳ Ｐゴシック"/>
      <family val="3"/>
      <charset val="128"/>
    </font>
    <font>
      <b/>
      <sz val="11"/>
      <color theme="1"/>
      <name val="ＭＳ Ｐ明朝"/>
      <family val="1"/>
      <charset val="128"/>
    </font>
    <font>
      <sz val="10"/>
      <color theme="1"/>
      <name val="ＭＳ Ｐ明朝"/>
      <family val="1"/>
      <charset val="128"/>
    </font>
    <font>
      <sz val="10"/>
      <color indexed="8"/>
      <name val="ＭＳ 明朝"/>
      <family val="1"/>
      <charset val="128"/>
    </font>
    <font>
      <sz val="14"/>
      <color theme="1"/>
      <name val="ＭＳ Ｐゴシック"/>
      <family val="3"/>
      <charset val="128"/>
    </font>
    <font>
      <sz val="10.5"/>
      <color theme="1"/>
      <name val="ＭＳ Ｐゴシック"/>
      <family val="3"/>
      <charset val="128"/>
    </font>
    <font>
      <sz val="10"/>
      <color theme="1"/>
      <name val="游ゴシック"/>
      <family val="3"/>
      <charset val="128"/>
    </font>
    <font>
      <sz val="10"/>
      <color theme="1"/>
      <name val="ＭＳ Ｐゴシック"/>
      <family val="3"/>
      <charset val="128"/>
    </font>
    <font>
      <b/>
      <sz val="16"/>
      <color theme="1"/>
      <name val="ＭＳ Ｐゴシック"/>
      <family val="3"/>
      <charset val="128"/>
    </font>
    <font>
      <sz val="6"/>
      <name val="ＭＳ Ｐゴシック"/>
      <family val="3"/>
      <charset val="128"/>
    </font>
    <font>
      <b/>
      <sz val="12"/>
      <color theme="1"/>
      <name val="ＭＳ Ｐ明朝"/>
      <family val="1"/>
      <charset val="128"/>
    </font>
    <font>
      <sz val="11"/>
      <color theme="1"/>
      <name val="ＭＳ Ｐ明朝"/>
      <family val="1"/>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FF"/>
        <bgColor indexed="64"/>
      </patternFill>
    </fill>
    <fill>
      <patternFill patternType="solid">
        <fgColor rgb="FF99CC00"/>
        <bgColor indexed="64"/>
      </patternFill>
    </fill>
    <fill>
      <patternFill patternType="solid">
        <fgColor indexed="9"/>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92D05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top/>
      <bottom style="thin">
        <color auto="1"/>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23">
    <xf numFmtId="0" fontId="0" fillId="0" borderId="0">
      <alignment vertical="center"/>
    </xf>
    <xf numFmtId="0" fontId="1" fillId="0" borderId="0">
      <alignment vertical="center"/>
    </xf>
    <xf numFmtId="0" fontId="19" fillId="0" borderId="0" applyNumberFormat="0" applyAlignment="0" applyProtection="0">
      <alignment vertical="center"/>
    </xf>
    <xf numFmtId="0" fontId="3" fillId="0" borderId="0">
      <alignment vertical="center"/>
    </xf>
    <xf numFmtId="0" fontId="6" fillId="0" borderId="0">
      <alignment vertical="center"/>
    </xf>
    <xf numFmtId="0" fontId="17" fillId="2" borderId="0" applyNumberFormat="0" applyAlignment="0" applyProtection="0">
      <alignment vertical="center"/>
    </xf>
    <xf numFmtId="0" fontId="17" fillId="3" borderId="0" applyNumberFormat="0" applyAlignment="0" applyProtection="0">
      <alignment vertical="center"/>
    </xf>
    <xf numFmtId="0" fontId="17" fillId="4" borderId="0" applyNumberFormat="0" applyAlignment="0" applyProtection="0">
      <alignment vertical="center"/>
    </xf>
    <xf numFmtId="0" fontId="17" fillId="5" borderId="0" applyNumberFormat="0" applyAlignment="0" applyProtection="0">
      <alignment vertical="center"/>
    </xf>
    <xf numFmtId="0" fontId="17" fillId="6" borderId="0" applyNumberFormat="0" applyAlignment="0" applyProtection="0">
      <alignment vertical="center"/>
    </xf>
    <xf numFmtId="0" fontId="17" fillId="7" borderId="0" applyNumberFormat="0" applyAlignment="0" applyProtection="0">
      <alignment vertical="center"/>
    </xf>
    <xf numFmtId="0" fontId="17" fillId="8" borderId="0" applyNumberFormat="0" applyAlignment="0" applyProtection="0">
      <alignment vertical="center"/>
    </xf>
    <xf numFmtId="0" fontId="17" fillId="9" borderId="0" applyNumberFormat="0" applyAlignment="0" applyProtection="0">
      <alignment vertical="center"/>
    </xf>
    <xf numFmtId="0" fontId="17" fillId="10" borderId="0" applyNumberFormat="0" applyAlignment="0" applyProtection="0">
      <alignment vertical="center"/>
    </xf>
    <xf numFmtId="0" fontId="17" fillId="5" borderId="0" applyNumberFormat="0" applyAlignment="0" applyProtection="0">
      <alignment vertical="center"/>
    </xf>
    <xf numFmtId="0" fontId="17" fillId="8" borderId="0" applyNumberFormat="0" applyAlignment="0" applyProtection="0">
      <alignment vertical="center"/>
    </xf>
    <xf numFmtId="0" fontId="17" fillId="11" borderId="0" applyNumberFormat="0" applyAlignment="0" applyProtection="0">
      <alignment vertical="center"/>
    </xf>
    <xf numFmtId="0" fontId="20" fillId="12" borderId="0" applyNumberFormat="0" applyAlignment="0" applyProtection="0">
      <alignment vertical="center"/>
    </xf>
    <xf numFmtId="0" fontId="20" fillId="9" borderId="0" applyNumberFormat="0" applyAlignment="0" applyProtection="0">
      <alignment vertical="center"/>
    </xf>
    <xf numFmtId="0" fontId="20" fillId="10" borderId="0" applyNumberFormat="0" applyAlignment="0" applyProtection="0">
      <alignment vertical="center"/>
    </xf>
    <xf numFmtId="0" fontId="20" fillId="13" borderId="0" applyNumberFormat="0" applyAlignment="0" applyProtection="0">
      <alignment vertical="center"/>
    </xf>
    <xf numFmtId="0" fontId="20" fillId="14" borderId="0" applyNumberFormat="0" applyAlignment="0" applyProtection="0">
      <alignment vertical="center"/>
    </xf>
    <xf numFmtId="0" fontId="20" fillId="15" borderId="0" applyNumberFormat="0" applyAlignment="0" applyProtection="0">
      <alignment vertical="center"/>
    </xf>
    <xf numFmtId="0" fontId="20" fillId="16" borderId="0" applyNumberFormat="0" applyAlignment="0" applyProtection="0">
      <alignment vertical="center"/>
    </xf>
    <xf numFmtId="0" fontId="20" fillId="17" borderId="0" applyNumberFormat="0" applyAlignment="0" applyProtection="0">
      <alignment vertical="center"/>
    </xf>
    <xf numFmtId="0" fontId="20" fillId="18" borderId="0" applyNumberFormat="0" applyAlignment="0" applyProtection="0">
      <alignment vertical="center"/>
    </xf>
    <xf numFmtId="0" fontId="20" fillId="13" borderId="0" applyNumberFormat="0" applyAlignment="0" applyProtection="0">
      <alignment vertical="center"/>
    </xf>
    <xf numFmtId="0" fontId="20" fillId="14" borderId="0" applyNumberFormat="0" applyAlignment="0" applyProtection="0">
      <alignment vertical="center"/>
    </xf>
    <xf numFmtId="0" fontId="20" fillId="19" borderId="0" applyNumberFormat="0" applyAlignment="0" applyProtection="0">
      <alignment vertical="center"/>
    </xf>
    <xf numFmtId="0" fontId="21" fillId="0" borderId="0" applyNumberFormat="0" applyAlignment="0" applyProtection="0">
      <alignment vertical="center"/>
    </xf>
    <xf numFmtId="0" fontId="22" fillId="20" borderId="1" applyNumberFormat="0" applyAlignment="0" applyProtection="0">
      <alignment vertical="center"/>
    </xf>
    <xf numFmtId="0" fontId="23" fillId="21" borderId="0" applyNumberFormat="0" applyAlignment="0" applyProtection="0">
      <alignment vertical="center"/>
    </xf>
    <xf numFmtId="9" fontId="3" fillId="0" borderId="0" applyFont="0" applyAlignment="0" applyProtection="0"/>
    <xf numFmtId="0" fontId="17" fillId="22" borderId="2" applyNumberFormat="0" applyFont="0" applyAlignment="0" applyProtection="0">
      <alignment vertical="center"/>
    </xf>
    <xf numFmtId="0" fontId="24" fillId="0" borderId="3" applyNumberFormat="0" applyAlignment="0" applyProtection="0">
      <alignment vertical="center"/>
    </xf>
    <xf numFmtId="0" fontId="25" fillId="3" borderId="0" applyNumberFormat="0" applyAlignment="0" applyProtection="0">
      <alignment vertical="center"/>
    </xf>
    <xf numFmtId="0" fontId="26" fillId="23" borderId="4" applyNumberFormat="0" applyAlignment="0" applyProtection="0">
      <alignment vertical="center"/>
    </xf>
    <xf numFmtId="0" fontId="15" fillId="0" borderId="0" applyNumberFormat="0" applyAlignment="0" applyProtection="0">
      <alignment vertical="center"/>
    </xf>
    <xf numFmtId="38" fontId="3" fillId="0" borderId="0" applyFont="0" applyAlignment="0" applyProtection="0"/>
    <xf numFmtId="0" fontId="27" fillId="0" borderId="5" applyNumberFormat="0" applyAlignment="0" applyProtection="0">
      <alignment vertical="center"/>
    </xf>
    <xf numFmtId="0" fontId="28" fillId="0" borderId="6" applyNumberFormat="0" applyAlignment="0" applyProtection="0">
      <alignment vertical="center"/>
    </xf>
    <xf numFmtId="0" fontId="29" fillId="0" borderId="7" applyNumberFormat="0" applyAlignment="0" applyProtection="0">
      <alignment vertical="center"/>
    </xf>
    <xf numFmtId="0" fontId="29" fillId="0" borderId="0" applyNumberFormat="0" applyAlignment="0" applyProtection="0">
      <alignment vertical="center"/>
    </xf>
    <xf numFmtId="0" fontId="30" fillId="0" borderId="8" applyNumberFormat="0" applyAlignment="0" applyProtection="0">
      <alignment vertical="center"/>
    </xf>
    <xf numFmtId="0" fontId="31" fillId="23" borderId="9" applyNumberFormat="0" applyAlignment="0" applyProtection="0">
      <alignment vertical="center"/>
    </xf>
    <xf numFmtId="0" fontId="32" fillId="0" borderId="0" applyNumberFormat="0" applyAlignment="0" applyProtection="0">
      <alignment vertical="center"/>
    </xf>
    <xf numFmtId="6" fontId="6" fillId="0" borderId="0" applyFont="0" applyAlignment="0" applyProtection="0">
      <alignment vertical="center"/>
    </xf>
    <xf numFmtId="6" fontId="3" fillId="0" borderId="0" applyFont="0" applyAlignment="0" applyProtection="0"/>
    <xf numFmtId="0" fontId="33" fillId="7" borderId="4" applyNumberFormat="0" applyAlignment="0" applyProtection="0">
      <alignment vertical="center"/>
    </xf>
    <xf numFmtId="0" fontId="11" fillId="0" borderId="0"/>
    <xf numFmtId="0" fontId="3" fillId="0" borderId="0">
      <alignment vertical="center"/>
    </xf>
    <xf numFmtId="0" fontId="3" fillId="0" borderId="0"/>
    <xf numFmtId="0" fontId="3" fillId="0" borderId="0"/>
    <xf numFmtId="0" fontId="3" fillId="0" borderId="0">
      <alignment vertical="center"/>
    </xf>
    <xf numFmtId="0" fontId="34" fillId="4" borderId="0" applyNumberFormat="0" applyAlignment="0" applyProtection="0">
      <alignment vertical="center"/>
    </xf>
    <xf numFmtId="0" fontId="17" fillId="0" borderId="0">
      <alignment vertical="center"/>
    </xf>
    <xf numFmtId="0" fontId="3" fillId="0" borderId="0">
      <alignment vertical="center"/>
    </xf>
    <xf numFmtId="0" fontId="11" fillId="0" borderId="0"/>
    <xf numFmtId="0" fontId="3" fillId="0" borderId="0"/>
    <xf numFmtId="9" fontId="3" fillId="0" borderId="0" applyFont="0" applyAlignment="0" applyProtection="0"/>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3" fillId="0" borderId="0" applyFont="0" applyAlignment="0" applyProtection="0"/>
    <xf numFmtId="6" fontId="2" fillId="0" borderId="0" applyFont="0" applyAlignment="0" applyProtection="0">
      <alignment vertical="center"/>
    </xf>
    <xf numFmtId="6" fontId="3" fillId="0" borderId="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11" fillId="0" borderId="0"/>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11" fillId="0" borderId="0"/>
    <xf numFmtId="0" fontId="6" fillId="0" borderId="0">
      <alignment vertical="center"/>
    </xf>
    <xf numFmtId="0" fontId="3" fillId="0" borderId="0"/>
    <xf numFmtId="0" fontId="3" fillId="0" borderId="0"/>
    <xf numFmtId="0" fontId="3" fillId="0" borderId="0"/>
    <xf numFmtId="0" fontId="6" fillId="0" borderId="0">
      <alignment vertical="center"/>
    </xf>
    <xf numFmtId="0" fontId="3" fillId="0" borderId="0">
      <alignment vertical="center"/>
    </xf>
  </cellStyleXfs>
  <cellXfs count="872">
    <xf numFmtId="0" fontId="0" fillId="0" borderId="0" xfId="0" applyNumberFormat="1" applyFont="1" applyFill="1" applyBorder="1" applyAlignment="1" applyProtection="1">
      <alignment vertical="center"/>
    </xf>
    <xf numFmtId="0" fontId="4" fillId="24" borderId="10" xfId="0" applyNumberFormat="1" applyFont="1" applyFill="1" applyBorder="1" applyAlignment="1" applyProtection="1">
      <alignment vertical="center" wrapText="1"/>
    </xf>
    <xf numFmtId="0" fontId="4" fillId="27" borderId="10" xfId="0" applyNumberFormat="1" applyFont="1" applyFill="1" applyBorder="1" applyAlignment="1" applyProtection="1">
      <alignment vertical="center" wrapText="1"/>
    </xf>
    <xf numFmtId="49" fontId="0" fillId="0" borderId="0" xfId="0" applyNumberFormat="1" applyFont="1" applyFill="1" applyBorder="1" applyAlignment="1" applyProtection="1">
      <alignment vertical="center"/>
    </xf>
    <xf numFmtId="0" fontId="0" fillId="28" borderId="0" xfId="0" applyNumberFormat="1" applyFont="1" applyFill="1" applyBorder="1" applyAlignment="1" applyProtection="1">
      <alignment vertical="center"/>
    </xf>
    <xf numFmtId="0" fontId="0" fillId="26" borderId="0" xfId="0" applyNumberFormat="1" applyFont="1" applyFill="1" applyBorder="1" applyAlignment="1" applyProtection="1">
      <alignment vertical="center"/>
    </xf>
    <xf numFmtId="0" fontId="0" fillId="29" borderId="0" xfId="0" applyNumberFormat="1" applyFont="1" applyFill="1" applyBorder="1" applyAlignment="1" applyProtection="1">
      <alignment vertical="center"/>
    </xf>
    <xf numFmtId="0" fontId="4" fillId="24" borderId="12" xfId="0" applyNumberFormat="1" applyFont="1" applyFill="1" applyBorder="1" applyAlignment="1" applyProtection="1">
      <alignment vertical="center" wrapText="1"/>
    </xf>
    <xf numFmtId="0" fontId="4" fillId="24" borderId="13" xfId="0" applyNumberFormat="1" applyFont="1" applyFill="1" applyBorder="1" applyAlignment="1" applyProtection="1">
      <alignment vertical="center" wrapText="1"/>
    </xf>
    <xf numFmtId="0" fontId="4" fillId="27" borderId="1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1" fillId="0" borderId="0" xfId="1" applyNumberFormat="1" applyFont="1" applyFill="1" applyBorder="1" applyAlignment="1" applyProtection="1">
      <alignment vertical="center"/>
    </xf>
    <xf numFmtId="0" fontId="19" fillId="0" borderId="0" xfId="2" applyNumberFormat="1" applyFont="1" applyFill="1" applyBorder="1" applyAlignment="1" applyProtection="1">
      <alignment vertical="center"/>
    </xf>
    <xf numFmtId="0" fontId="12" fillId="0" borderId="0" xfId="1" applyNumberFormat="1" applyFont="1" applyFill="1" applyBorder="1" applyAlignment="1" applyProtection="1">
      <alignment vertical="center"/>
      <protection locked="0"/>
    </xf>
    <xf numFmtId="0" fontId="19" fillId="0" borderId="0" xfId="2" applyNumberFormat="1" applyFont="1" applyFill="1" applyBorder="1" applyAlignment="1" applyProtection="1">
      <alignment horizontal="center" vertical="center"/>
    </xf>
    <xf numFmtId="0" fontId="0" fillId="0" borderId="0" xfId="1" applyNumberFormat="1" applyFont="1" applyFill="1" applyBorder="1" applyAlignment="1" applyProtection="1">
      <alignment vertical="center"/>
      <protection locked="0"/>
    </xf>
    <xf numFmtId="49" fontId="1" fillId="0" borderId="0" xfId="1" applyNumberFormat="1" applyFont="1" applyFill="1" applyBorder="1" applyAlignment="1" applyProtection="1">
      <alignment vertical="center"/>
    </xf>
    <xf numFmtId="0" fontId="14"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center"/>
    </xf>
    <xf numFmtId="0" fontId="4" fillId="0" borderId="11" xfId="3" applyNumberFormat="1" applyFont="1" applyFill="1" applyBorder="1" applyAlignment="1" applyProtection="1">
      <alignment vertical="center"/>
      <protection locked="0"/>
    </xf>
    <xf numFmtId="0" fontId="4" fillId="24" borderId="0" xfId="0" applyNumberFormat="1" applyFont="1" applyFill="1" applyBorder="1" applyAlignment="1" applyProtection="1">
      <alignment vertical="center" wrapText="1"/>
    </xf>
    <xf numFmtId="0" fontId="4" fillId="24" borderId="14" xfId="0" applyNumberFormat="1" applyFont="1" applyFill="1" applyBorder="1" applyAlignment="1" applyProtection="1">
      <alignment vertical="center" wrapText="1"/>
    </xf>
    <xf numFmtId="0" fontId="4" fillId="24" borderId="15" xfId="0" applyNumberFormat="1" applyFont="1" applyFill="1" applyBorder="1" applyAlignment="1" applyProtection="1">
      <alignment vertical="center" wrapText="1"/>
    </xf>
    <xf numFmtId="0" fontId="4" fillId="24" borderId="10" xfId="0" applyNumberFormat="1" applyFont="1" applyFill="1" applyBorder="1" applyAlignment="1" applyProtection="1">
      <alignment vertical="center" shrinkToFit="1"/>
    </xf>
    <xf numFmtId="0" fontId="4" fillId="24" borderId="13" xfId="0" applyNumberFormat="1" applyFont="1" applyFill="1" applyBorder="1" applyAlignment="1" applyProtection="1">
      <alignment vertical="center" shrinkToFit="1"/>
    </xf>
    <xf numFmtId="0" fontId="4" fillId="30" borderId="0" xfId="0" applyNumberFormat="1" applyFont="1" applyFill="1" applyBorder="1" applyAlignment="1" applyProtection="1">
      <alignment vertical="center" wrapText="1"/>
    </xf>
    <xf numFmtId="0" fontId="3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top"/>
    </xf>
    <xf numFmtId="0" fontId="4" fillId="0" borderId="0" xfId="0" applyNumberFormat="1" applyFont="1" applyFill="1" applyBorder="1" applyAlignment="1" applyProtection="1">
      <alignment horizontal="left" vertical="top" wrapText="1"/>
    </xf>
    <xf numFmtId="49" fontId="4" fillId="30" borderId="12" xfId="0" applyNumberFormat="1" applyFont="1" applyFill="1" applyBorder="1" applyAlignment="1" applyProtection="1">
      <alignment horizontal="left" vertical="center"/>
    </xf>
    <xf numFmtId="49" fontId="4" fillId="30" borderId="15" xfId="0" applyNumberFormat="1" applyFont="1" applyFill="1" applyBorder="1" applyAlignment="1" applyProtection="1">
      <alignment horizontal="left" vertical="center"/>
    </xf>
    <xf numFmtId="49" fontId="4" fillId="30" borderId="12" xfId="0" applyNumberFormat="1" applyFont="1" applyFill="1" applyBorder="1" applyAlignment="1" applyProtection="1">
      <alignment horizontal="left" vertical="top"/>
    </xf>
    <xf numFmtId="49" fontId="4" fillId="30" borderId="16" xfId="0" applyNumberFormat="1" applyFont="1" applyFill="1" applyBorder="1" applyAlignment="1" applyProtection="1">
      <alignment horizontal="left" vertical="center"/>
    </xf>
    <xf numFmtId="49" fontId="4" fillId="30" borderId="17" xfId="0" applyNumberFormat="1" applyFont="1" applyFill="1" applyBorder="1" applyAlignment="1" applyProtection="1">
      <alignment horizontal="left" vertical="center"/>
    </xf>
    <xf numFmtId="0" fontId="4" fillId="30" borderId="18" xfId="0" applyNumberFormat="1" applyFont="1" applyFill="1" applyBorder="1" applyAlignment="1" applyProtection="1">
      <alignment vertical="center"/>
    </xf>
    <xf numFmtId="0" fontId="4" fillId="24" borderId="18" xfId="0" applyNumberFormat="1" applyFont="1" applyFill="1" applyBorder="1" applyAlignment="1" applyProtection="1">
      <alignment vertical="center" wrapText="1"/>
    </xf>
    <xf numFmtId="0" fontId="4" fillId="30" borderId="0" xfId="0" applyNumberFormat="1" applyFont="1" applyFill="1" applyBorder="1" applyAlignment="1" applyProtection="1">
      <alignment vertical="center"/>
    </xf>
    <xf numFmtId="0" fontId="4" fillId="24" borderId="16" xfId="0" applyNumberFormat="1" applyFont="1" applyFill="1" applyBorder="1" applyAlignment="1" applyProtection="1">
      <alignment vertical="center" wrapText="1"/>
    </xf>
    <xf numFmtId="0" fontId="4" fillId="30" borderId="10" xfId="0" applyNumberFormat="1" applyFont="1" applyFill="1" applyBorder="1" applyAlignment="1" applyProtection="1">
      <alignment vertical="center" wrapText="1"/>
    </xf>
    <xf numFmtId="0" fontId="4" fillId="30" borderId="14" xfId="0" applyNumberFormat="1" applyFont="1" applyFill="1" applyBorder="1" applyAlignment="1" applyProtection="1">
      <alignment vertical="center" wrapText="1"/>
    </xf>
    <xf numFmtId="0" fontId="4" fillId="30" borderId="10" xfId="0" applyNumberFormat="1" applyFont="1" applyFill="1" applyBorder="1" applyAlignment="1" applyProtection="1">
      <alignment vertical="center"/>
    </xf>
    <xf numFmtId="0" fontId="4" fillId="30" borderId="14" xfId="0" applyNumberFormat="1" applyFont="1" applyFill="1" applyBorder="1" applyAlignment="1" applyProtection="1">
      <alignment vertical="center"/>
    </xf>
    <xf numFmtId="0" fontId="4" fillId="30" borderId="12" xfId="0" applyNumberFormat="1" applyFont="1" applyFill="1" applyBorder="1" applyAlignment="1" applyProtection="1">
      <alignment vertical="center"/>
    </xf>
    <xf numFmtId="0" fontId="4" fillId="30" borderId="13" xfId="0" applyNumberFormat="1" applyFont="1" applyFill="1" applyBorder="1" applyAlignment="1" applyProtection="1">
      <alignment vertical="center"/>
    </xf>
    <xf numFmtId="0" fontId="4" fillId="31" borderId="10" xfId="0" applyNumberFormat="1" applyFont="1" applyFill="1" applyBorder="1" applyAlignment="1" applyProtection="1">
      <alignment vertical="center" wrapText="1"/>
    </xf>
    <xf numFmtId="0" fontId="4" fillId="31" borderId="14" xfId="0" applyNumberFormat="1" applyFont="1" applyFill="1" applyBorder="1" applyAlignment="1" applyProtection="1">
      <alignment vertical="center" wrapText="1"/>
    </xf>
    <xf numFmtId="0" fontId="4" fillId="31" borderId="18" xfId="0" applyNumberFormat="1" applyFont="1" applyFill="1" applyBorder="1" applyAlignment="1" applyProtection="1">
      <alignment vertical="center" wrapText="1"/>
    </xf>
    <xf numFmtId="0" fontId="4" fillId="31" borderId="19" xfId="0" applyNumberFormat="1" applyFont="1" applyFill="1" applyBorder="1" applyAlignment="1" applyProtection="1">
      <alignment vertical="center" wrapText="1"/>
    </xf>
    <xf numFmtId="0" fontId="4" fillId="31" borderId="2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30" borderId="21" xfId="0" applyNumberFormat="1" applyFont="1" applyFill="1" applyBorder="1" applyAlignment="1" applyProtection="1">
      <alignment vertical="center" wrapText="1"/>
    </xf>
    <xf numFmtId="0" fontId="4" fillId="31" borderId="17" xfId="0" applyNumberFormat="1" applyFont="1" applyFill="1" applyBorder="1" applyAlignment="1" applyProtection="1">
      <alignment vertical="center" wrapText="1"/>
    </xf>
    <xf numFmtId="0" fontId="4" fillId="24" borderId="0" xfId="0" applyNumberFormat="1" applyFont="1" applyFill="1" applyBorder="1" applyAlignment="1" applyProtection="1">
      <alignment vertical="center"/>
    </xf>
    <xf numFmtId="0" fontId="4" fillId="31" borderId="12" xfId="0" applyNumberFormat="1" applyFont="1" applyFill="1" applyBorder="1" applyAlignment="1" applyProtection="1">
      <alignment vertical="center"/>
    </xf>
    <xf numFmtId="0" fontId="4" fillId="31" borderId="13" xfId="0" applyNumberFormat="1" applyFont="1" applyFill="1" applyBorder="1" applyAlignment="1" applyProtection="1">
      <alignment vertical="center"/>
    </xf>
    <xf numFmtId="0" fontId="4" fillId="30" borderId="22" xfId="0" applyNumberFormat="1" applyFont="1" applyFill="1" applyBorder="1" applyAlignment="1" applyProtection="1">
      <alignment vertical="center"/>
    </xf>
    <xf numFmtId="0" fontId="4" fillId="31" borderId="16" xfId="0" applyNumberFormat="1" applyFont="1" applyFill="1" applyBorder="1" applyAlignment="1" applyProtection="1">
      <alignment horizontal="left" vertical="center"/>
    </xf>
    <xf numFmtId="0" fontId="6" fillId="32" borderId="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left" vertical="center"/>
    </xf>
    <xf numFmtId="0" fontId="4" fillId="30" borderId="15" xfId="0" applyNumberFormat="1" applyFont="1" applyFill="1" applyBorder="1" applyAlignment="1" applyProtection="1">
      <alignment vertical="center"/>
    </xf>
    <xf numFmtId="0" fontId="4" fillId="24" borderId="23" xfId="0" applyNumberFormat="1" applyFont="1" applyFill="1" applyBorder="1" applyAlignment="1" applyProtection="1">
      <alignment vertical="center" wrapText="1"/>
    </xf>
    <xf numFmtId="0" fontId="4" fillId="24" borderId="24" xfId="0" applyNumberFormat="1" applyFont="1" applyFill="1" applyBorder="1" applyAlignment="1" applyProtection="1">
      <alignment vertical="center" wrapText="1"/>
    </xf>
    <xf numFmtId="0" fontId="4" fillId="24" borderId="17" xfId="0" applyNumberFormat="1" applyFont="1" applyFill="1" applyBorder="1" applyAlignment="1" applyProtection="1">
      <alignment vertical="center" wrapText="1"/>
    </xf>
    <xf numFmtId="0" fontId="4" fillId="24" borderId="25" xfId="0" applyNumberFormat="1" applyFont="1" applyFill="1" applyBorder="1" applyAlignment="1" applyProtection="1">
      <alignment vertical="center" wrapText="1"/>
    </xf>
    <xf numFmtId="0" fontId="4" fillId="24" borderId="26" xfId="0" applyNumberFormat="1" applyFont="1" applyFill="1" applyBorder="1" applyAlignment="1" applyProtection="1">
      <alignment vertical="center" wrapText="1"/>
    </xf>
    <xf numFmtId="0" fontId="4" fillId="24" borderId="27" xfId="0" applyNumberFormat="1" applyFont="1" applyFill="1" applyBorder="1" applyAlignment="1" applyProtection="1">
      <alignment vertical="center" wrapText="1"/>
    </xf>
    <xf numFmtId="49" fontId="4" fillId="30" borderId="26" xfId="0" applyNumberFormat="1" applyFont="1" applyFill="1" applyBorder="1" applyAlignment="1" applyProtection="1">
      <alignment vertical="center"/>
    </xf>
    <xf numFmtId="0" fontId="4" fillId="30" borderId="26" xfId="0" applyNumberFormat="1" applyFont="1" applyFill="1" applyBorder="1" applyAlignment="1" applyProtection="1">
      <alignment vertical="center"/>
    </xf>
    <xf numFmtId="0" fontId="4" fillId="30" borderId="27" xfId="0" applyNumberFormat="1" applyFont="1" applyFill="1" applyBorder="1" applyAlignment="1" applyProtection="1">
      <alignment vertical="center"/>
    </xf>
    <xf numFmtId="0" fontId="4" fillId="31" borderId="26" xfId="0" applyNumberFormat="1" applyFont="1" applyFill="1" applyBorder="1" applyAlignment="1" applyProtection="1">
      <alignment vertical="center" wrapText="1"/>
    </xf>
    <xf numFmtId="0" fontId="4" fillId="30" borderId="26" xfId="0" applyNumberFormat="1" applyFont="1" applyFill="1" applyBorder="1" applyAlignment="1" applyProtection="1">
      <alignment vertical="center" wrapText="1"/>
    </xf>
    <xf numFmtId="49" fontId="4" fillId="30" borderId="26" xfId="0" applyNumberFormat="1" applyFont="1" applyFill="1" applyBorder="1" applyAlignment="1" applyProtection="1">
      <alignment horizontal="left" vertical="top"/>
    </xf>
    <xf numFmtId="49" fontId="4" fillId="30" borderId="26" xfId="0" applyNumberFormat="1" applyFont="1" applyFill="1" applyBorder="1" applyAlignment="1" applyProtection="1">
      <alignment horizontal="left" vertical="center"/>
    </xf>
    <xf numFmtId="0" fontId="35" fillId="30" borderId="27" xfId="0" applyNumberFormat="1" applyFont="1" applyFill="1" applyBorder="1" applyAlignment="1" applyProtection="1">
      <alignment vertical="center"/>
    </xf>
    <xf numFmtId="0" fontId="4" fillId="30" borderId="28" xfId="0" applyNumberFormat="1" applyFont="1" applyFill="1" applyBorder="1" applyAlignment="1" applyProtection="1">
      <alignment vertical="center"/>
    </xf>
    <xf numFmtId="0" fontId="4" fillId="24" borderId="26" xfId="0" applyNumberFormat="1" applyFont="1" applyFill="1" applyBorder="1" applyAlignment="1" applyProtection="1">
      <alignment vertical="center" shrinkToFit="1"/>
    </xf>
    <xf numFmtId="0" fontId="4" fillId="30" borderId="12" xfId="0" applyNumberFormat="1" applyFont="1" applyFill="1" applyBorder="1" applyAlignment="1" applyProtection="1">
      <alignment vertical="center" wrapText="1"/>
    </xf>
    <xf numFmtId="0" fontId="4" fillId="30" borderId="13" xfId="0" applyNumberFormat="1" applyFont="1" applyFill="1" applyBorder="1" applyAlignment="1" applyProtection="1">
      <alignment vertical="center" wrapText="1"/>
    </xf>
    <xf numFmtId="0" fontId="4" fillId="30" borderId="27" xfId="0" applyNumberFormat="1" applyFont="1" applyFill="1" applyBorder="1" applyAlignment="1" applyProtection="1">
      <alignment vertical="center" wrapText="1"/>
    </xf>
    <xf numFmtId="0" fontId="4" fillId="24" borderId="29" xfId="0" applyNumberFormat="1" applyFont="1" applyFill="1" applyBorder="1" applyAlignment="1" applyProtection="1">
      <alignment vertical="center" wrapText="1"/>
    </xf>
    <xf numFmtId="0" fontId="4" fillId="24" borderId="10" xfId="0" applyNumberFormat="1" applyFont="1" applyFill="1" applyBorder="1" applyAlignment="1" applyProtection="1">
      <alignment vertical="center"/>
    </xf>
    <xf numFmtId="0" fontId="4" fillId="30" borderId="23" xfId="0" applyNumberFormat="1" applyFont="1" applyFill="1" applyBorder="1" applyAlignment="1" applyProtection="1">
      <alignment vertical="center"/>
    </xf>
    <xf numFmtId="49" fontId="4" fillId="24" borderId="12" xfId="0" applyNumberFormat="1" applyFont="1" applyFill="1" applyBorder="1" applyAlignment="1" applyProtection="1">
      <alignment vertical="center"/>
    </xf>
    <xf numFmtId="49" fontId="4" fillId="24" borderId="12" xfId="0" applyNumberFormat="1" applyFont="1" applyFill="1" applyBorder="1" applyAlignment="1" applyProtection="1">
      <alignment vertical="center" shrinkToFit="1"/>
    </xf>
    <xf numFmtId="49" fontId="4" fillId="24" borderId="13" xfId="0" applyNumberFormat="1" applyFont="1" applyFill="1" applyBorder="1" applyAlignment="1" applyProtection="1">
      <alignment vertical="center" shrinkToFit="1"/>
    </xf>
    <xf numFmtId="49" fontId="4" fillId="24" borderId="16" xfId="0" applyNumberFormat="1" applyFont="1" applyFill="1" applyBorder="1" applyAlignment="1" applyProtection="1">
      <alignment vertical="center"/>
    </xf>
    <xf numFmtId="49" fontId="4" fillId="24" borderId="25" xfId="0" applyNumberFormat="1" applyFont="1" applyFill="1" applyBorder="1" applyAlignment="1" applyProtection="1">
      <alignment vertical="center" shrinkToFit="1"/>
    </xf>
    <xf numFmtId="49" fontId="4" fillId="24" borderId="29" xfId="0" applyNumberFormat="1" applyFont="1" applyFill="1" applyBorder="1" applyAlignment="1" applyProtection="1">
      <alignment vertical="center" shrinkToFit="1"/>
    </xf>
    <xf numFmtId="49" fontId="4" fillId="24" borderId="30" xfId="0" applyNumberFormat="1" applyFont="1" applyFill="1" applyBorder="1" applyAlignment="1" applyProtection="1">
      <alignment vertical="center" shrinkToFit="1"/>
    </xf>
    <xf numFmtId="0" fontId="4" fillId="24" borderId="14" xfId="0" applyNumberFormat="1" applyFont="1" applyFill="1" applyBorder="1" applyAlignment="1" applyProtection="1">
      <alignment vertical="center" shrinkToFit="1"/>
    </xf>
    <xf numFmtId="0" fontId="4" fillId="24" borderId="22" xfId="0" applyNumberFormat="1" applyFont="1" applyFill="1" applyBorder="1" applyAlignment="1" applyProtection="1">
      <alignment vertical="center" shrinkToFit="1"/>
    </xf>
    <xf numFmtId="0" fontId="4" fillId="30" borderId="10" xfId="0" applyNumberFormat="1" applyFont="1" applyFill="1" applyBorder="1" applyAlignment="1" applyProtection="1">
      <alignment vertical="center" shrinkToFit="1"/>
    </xf>
    <xf numFmtId="0" fontId="4" fillId="30" borderId="14" xfId="0" applyNumberFormat="1" applyFont="1" applyFill="1" applyBorder="1" applyAlignment="1" applyProtection="1">
      <alignment vertical="center" shrinkToFit="1"/>
    </xf>
    <xf numFmtId="176" fontId="4" fillId="0" borderId="0" xfId="0" applyNumberFormat="1" applyFont="1" applyFill="1" applyBorder="1" applyAlignment="1" applyProtection="1">
      <alignment horizontal="left" vertical="center"/>
    </xf>
    <xf numFmtId="0" fontId="12" fillId="30" borderId="24" xfId="1" applyNumberFormat="1" applyFont="1" applyFill="1" applyBorder="1" applyAlignment="1" applyProtection="1">
      <alignment vertical="center"/>
      <protection locked="0"/>
    </xf>
    <xf numFmtId="0" fontId="12" fillId="30" borderId="0" xfId="1" applyNumberFormat="1" applyFont="1" applyFill="1" applyBorder="1" applyAlignment="1" applyProtection="1">
      <alignment vertical="center"/>
      <protection locked="0"/>
    </xf>
    <xf numFmtId="0" fontId="12" fillId="30" borderId="12" xfId="1" applyNumberFormat="1" applyFont="1" applyFill="1" applyBorder="1" applyAlignment="1" applyProtection="1">
      <alignment vertical="center"/>
      <protection locked="0"/>
    </xf>
    <xf numFmtId="0" fontId="4" fillId="30" borderId="31"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0" fontId="4" fillId="30" borderId="32" xfId="0" applyNumberFormat="1" applyFont="1" applyFill="1" applyBorder="1" applyAlignment="1" applyProtection="1">
      <alignment vertical="center"/>
    </xf>
    <xf numFmtId="177" fontId="4" fillId="0" borderId="0" xfId="0" applyNumberFormat="1" applyFont="1" applyFill="1" applyBorder="1" applyAlignment="1" applyProtection="1">
      <alignment vertical="center"/>
    </xf>
    <xf numFmtId="177" fontId="4" fillId="0" borderId="0" xfId="0" applyNumberFormat="1" applyFont="1" applyFill="1" applyBorder="1" applyAlignment="1" applyProtection="1">
      <alignment horizontal="left" vertical="center"/>
    </xf>
    <xf numFmtId="0" fontId="4" fillId="30" borderId="24" xfId="0" applyNumberFormat="1" applyFont="1" applyFill="1" applyBorder="1" applyAlignment="1" applyProtection="1">
      <alignment vertical="center"/>
    </xf>
    <xf numFmtId="0" fontId="4" fillId="30" borderId="17" xfId="0" applyNumberFormat="1" applyFont="1" applyFill="1" applyBorder="1" applyAlignment="1" applyProtection="1">
      <alignment vertical="center"/>
    </xf>
    <xf numFmtId="0" fontId="4" fillId="31" borderId="14" xfId="0" applyNumberFormat="1" applyFont="1" applyFill="1" applyBorder="1" applyAlignment="1" applyProtection="1">
      <alignment vertical="center"/>
    </xf>
    <xf numFmtId="0" fontId="4" fillId="31" borderId="12" xfId="0" applyNumberFormat="1" applyFont="1" applyFill="1" applyBorder="1" applyAlignment="1" applyProtection="1">
      <alignment vertical="center" wrapText="1"/>
    </xf>
    <xf numFmtId="0" fontId="4" fillId="31" borderId="26" xfId="0" applyNumberFormat="1" applyFont="1" applyFill="1" applyBorder="1" applyAlignment="1" applyProtection="1">
      <alignment vertical="center"/>
    </xf>
    <xf numFmtId="0" fontId="4" fillId="31" borderId="27" xfId="0" applyNumberFormat="1" applyFont="1" applyFill="1" applyBorder="1" applyAlignment="1" applyProtection="1">
      <alignment vertical="center" wrapText="1"/>
    </xf>
    <xf numFmtId="0" fontId="4" fillId="30" borderId="26" xfId="0" applyNumberFormat="1" applyFont="1" applyFill="1" applyBorder="1" applyAlignment="1" applyProtection="1">
      <alignment horizontal="left" vertical="center"/>
    </xf>
    <xf numFmtId="0" fontId="4" fillId="31" borderId="0" xfId="0" applyNumberFormat="1" applyFont="1" applyFill="1" applyBorder="1" applyAlignment="1" applyProtection="1">
      <alignment vertical="center"/>
    </xf>
    <xf numFmtId="0" fontId="4" fillId="31" borderId="13" xfId="0" applyNumberFormat="1" applyFont="1" applyFill="1" applyBorder="1" applyAlignment="1" applyProtection="1">
      <alignment vertical="center" wrapText="1"/>
    </xf>
    <xf numFmtId="0" fontId="4" fillId="24" borderId="22"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center" vertical="center"/>
    </xf>
    <xf numFmtId="0" fontId="4" fillId="0" borderId="33" xfId="0" applyNumberFormat="1" applyFont="1" applyFill="1" applyBorder="1" applyAlignment="1" applyProtection="1">
      <alignment horizontal="left" vertical="center"/>
    </xf>
    <xf numFmtId="0" fontId="4" fillId="0" borderId="34" xfId="0" applyNumberFormat="1" applyFont="1" applyFill="1" applyBorder="1" applyAlignment="1" applyProtection="1">
      <alignment horizontal="left" vertical="center"/>
    </xf>
    <xf numFmtId="0" fontId="4" fillId="0" borderId="35" xfId="0" applyNumberFormat="1" applyFont="1" applyFill="1" applyBorder="1" applyAlignment="1" applyProtection="1">
      <alignment vertical="center"/>
    </xf>
    <xf numFmtId="0" fontId="4" fillId="33" borderId="36" xfId="0" applyNumberFormat="1" applyFont="1" applyFill="1" applyBorder="1" applyAlignment="1" applyProtection="1">
      <alignment horizontal="left" vertical="center" wrapText="1"/>
    </xf>
    <xf numFmtId="0" fontId="4" fillId="0" borderId="37" xfId="0" applyNumberFormat="1" applyFont="1" applyFill="1" applyBorder="1" applyAlignment="1" applyProtection="1">
      <alignment horizontal="left" vertical="center" wrapText="1"/>
    </xf>
    <xf numFmtId="0" fontId="4" fillId="0" borderId="38" xfId="0" applyNumberFormat="1" applyFont="1" applyFill="1" applyBorder="1" applyAlignment="1" applyProtection="1">
      <alignment horizontal="left" vertical="center" wrapText="1"/>
    </xf>
    <xf numFmtId="0" fontId="4" fillId="0" borderId="39" xfId="0" applyNumberFormat="1" applyFont="1" applyFill="1" applyBorder="1" applyAlignment="1" applyProtection="1">
      <alignment horizontal="left" vertical="center" wrapText="1"/>
    </xf>
    <xf numFmtId="0" fontId="4" fillId="0" borderId="40" xfId="0" applyNumberFormat="1" applyFont="1" applyFill="1" applyBorder="1" applyAlignment="1" applyProtection="1">
      <alignment horizontal="left" vertical="center"/>
    </xf>
    <xf numFmtId="0" fontId="4" fillId="0" borderId="35" xfId="0" applyNumberFormat="1" applyFont="1" applyFill="1" applyBorder="1" applyAlignment="1" applyProtection="1">
      <alignment horizontal="left" vertical="center"/>
    </xf>
    <xf numFmtId="0" fontId="4" fillId="0" borderId="37" xfId="0" applyNumberFormat="1" applyFont="1" applyFill="1" applyBorder="1" applyAlignment="1" applyProtection="1">
      <alignment vertical="center"/>
    </xf>
    <xf numFmtId="0" fontId="4" fillId="0" borderId="38" xfId="0" applyNumberFormat="1" applyFont="1" applyFill="1" applyBorder="1" applyAlignment="1" applyProtection="1">
      <alignment vertical="center"/>
    </xf>
    <xf numFmtId="0" fontId="4" fillId="0" borderId="39" xfId="0" applyNumberFormat="1" applyFont="1" applyFill="1" applyBorder="1" applyAlignment="1" applyProtection="1">
      <alignment vertical="center"/>
    </xf>
    <xf numFmtId="0" fontId="4" fillId="31" borderId="13" xfId="0" applyNumberFormat="1" applyFont="1" applyFill="1" applyBorder="1" applyAlignment="1" applyProtection="1">
      <alignment vertical="center"/>
    </xf>
    <xf numFmtId="0" fontId="4" fillId="31" borderId="27" xfId="0" applyNumberFormat="1" applyFont="1" applyFill="1" applyBorder="1" applyAlignment="1" applyProtection="1">
      <alignment vertical="center" wrapText="1"/>
    </xf>
    <xf numFmtId="0" fontId="4" fillId="0" borderId="21" xfId="0" applyNumberFormat="1" applyFont="1" applyFill="1" applyBorder="1" applyAlignment="1" applyProtection="1">
      <alignment vertical="center" wrapText="1"/>
    </xf>
    <xf numFmtId="0" fontId="4" fillId="0" borderId="32" xfId="0" applyNumberFormat="1" applyFont="1" applyFill="1" applyBorder="1" applyAlignment="1" applyProtection="1">
      <alignment vertical="center" wrapText="1"/>
    </xf>
    <xf numFmtId="0" fontId="4" fillId="30" borderId="13" xfId="0" applyNumberFormat="1" applyFont="1" applyFill="1" applyBorder="1" applyAlignment="1" applyProtection="1">
      <alignment vertical="center" wrapText="1"/>
    </xf>
    <xf numFmtId="0" fontId="4" fillId="30" borderId="26" xfId="0" applyNumberFormat="1" applyFont="1" applyFill="1" applyBorder="1" applyAlignment="1" applyProtection="1">
      <alignment horizontal="left" vertical="center" wrapText="1"/>
    </xf>
    <xf numFmtId="0" fontId="4" fillId="27" borderId="14" xfId="0" applyNumberFormat="1" applyFont="1" applyFill="1" applyBorder="1" applyAlignment="1" applyProtection="1">
      <alignment horizontal="right" vertical="center" wrapText="1"/>
    </xf>
    <xf numFmtId="0" fontId="4" fillId="27" borderId="26" xfId="0" applyNumberFormat="1" applyFont="1" applyFill="1" applyBorder="1" applyAlignment="1" applyProtection="1">
      <alignment horizontal="left" vertical="center" wrapText="1"/>
    </xf>
    <xf numFmtId="0" fontId="4" fillId="30" borderId="27" xfId="0" applyNumberFormat="1" applyFont="1" applyFill="1" applyBorder="1" applyAlignment="1" applyProtection="1">
      <alignment horizontal="left" vertical="center" wrapText="1"/>
    </xf>
    <xf numFmtId="0" fontId="4" fillId="24" borderId="15" xfId="0" applyNumberFormat="1" applyFont="1" applyFill="1" applyBorder="1" applyAlignment="1" applyProtection="1">
      <alignment vertical="center" wrapText="1"/>
    </xf>
    <xf numFmtId="0" fontId="4" fillId="24" borderId="13" xfId="0" applyNumberFormat="1" applyFont="1" applyFill="1" applyBorder="1" applyAlignment="1" applyProtection="1">
      <alignment vertical="center" wrapText="1"/>
    </xf>
    <xf numFmtId="0" fontId="4" fillId="24" borderId="17" xfId="0" applyNumberFormat="1" applyFont="1" applyFill="1" applyBorder="1" applyAlignment="1" applyProtection="1">
      <alignment vertical="center" wrapText="1"/>
    </xf>
    <xf numFmtId="0" fontId="4" fillId="24" borderId="27" xfId="0" applyNumberFormat="1" applyFont="1" applyFill="1" applyBorder="1" applyAlignment="1" applyProtection="1">
      <alignment vertical="center" wrapText="1"/>
    </xf>
    <xf numFmtId="0" fontId="4" fillId="24" borderId="15" xfId="0" applyNumberFormat="1" applyFont="1" applyFill="1" applyBorder="1" applyAlignment="1" applyProtection="1">
      <alignment vertical="center" shrinkToFit="1"/>
    </xf>
    <xf numFmtId="0" fontId="4" fillId="24" borderId="17" xfId="0" applyNumberFormat="1" applyFont="1" applyFill="1" applyBorder="1" applyAlignment="1" applyProtection="1">
      <alignment vertical="center" shrinkToFit="1"/>
    </xf>
    <xf numFmtId="0" fontId="4" fillId="24" borderId="18" xfId="0" applyNumberFormat="1" applyFont="1" applyFill="1" applyBorder="1" applyAlignment="1" applyProtection="1">
      <alignment vertical="center" shrinkToFit="1"/>
    </xf>
    <xf numFmtId="49" fontId="4" fillId="24" borderId="25" xfId="0" applyNumberFormat="1" applyFont="1" applyFill="1" applyBorder="1" applyAlignment="1" applyProtection="1">
      <alignment vertical="center"/>
    </xf>
    <xf numFmtId="0" fontId="4" fillId="30" borderId="18" xfId="0" applyNumberFormat="1" applyFont="1" applyFill="1" applyBorder="1" applyAlignment="1" applyProtection="1">
      <alignment vertical="center" wrapText="1"/>
    </xf>
    <xf numFmtId="49" fontId="4" fillId="30" borderId="18" xfId="0" applyNumberFormat="1" applyFont="1" applyFill="1" applyBorder="1" applyAlignment="1" applyProtection="1">
      <alignment vertical="center" wrapText="1"/>
    </xf>
    <xf numFmtId="0" fontId="4" fillId="24" borderId="18" xfId="0" applyNumberFormat="1" applyFont="1" applyFill="1" applyBorder="1" applyAlignment="1" applyProtection="1">
      <alignment vertical="center" wrapText="1"/>
    </xf>
    <xf numFmtId="0" fontId="4" fillId="30" borderId="20" xfId="0" applyNumberFormat="1" applyFont="1" applyFill="1" applyBorder="1" applyAlignment="1" applyProtection="1">
      <alignment vertical="center" wrapText="1"/>
    </xf>
    <xf numFmtId="0" fontId="4" fillId="30" borderId="0" xfId="0" applyNumberFormat="1" applyFont="1" applyFill="1" applyBorder="1" applyAlignment="1" applyProtection="1">
      <alignment horizontal="left" vertical="center"/>
    </xf>
    <xf numFmtId="0" fontId="4" fillId="30" borderId="15"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9" fontId="4" fillId="33" borderId="10" xfId="0" applyNumberFormat="1" applyFont="1" applyFill="1" applyBorder="1" applyAlignment="1" applyProtection="1">
      <alignment horizontal="left" vertical="center"/>
    </xf>
    <xf numFmtId="0" fontId="4" fillId="33" borderId="14" xfId="0" applyNumberFormat="1" applyFont="1" applyFill="1" applyBorder="1" applyAlignment="1" applyProtection="1">
      <alignment vertical="center"/>
    </xf>
    <xf numFmtId="49" fontId="4" fillId="33" borderId="12" xfId="0" applyNumberFormat="1" applyFont="1" applyFill="1" applyBorder="1" applyAlignment="1" applyProtection="1">
      <alignment horizontal="left" vertical="center"/>
    </xf>
    <xf numFmtId="49" fontId="4" fillId="33" borderId="13" xfId="0" applyNumberFormat="1" applyFont="1" applyFill="1" applyBorder="1" applyAlignment="1" applyProtection="1">
      <alignment horizontal="left" vertical="center"/>
    </xf>
    <xf numFmtId="0" fontId="4" fillId="33" borderId="26" xfId="0" applyNumberFormat="1" applyFont="1" applyFill="1" applyBorder="1" applyAlignment="1" applyProtection="1">
      <alignment vertical="center"/>
    </xf>
    <xf numFmtId="0" fontId="4" fillId="33" borderId="27" xfId="0" applyNumberFormat="1" applyFont="1" applyFill="1" applyBorder="1" applyAlignment="1" applyProtection="1">
      <alignment vertical="center"/>
    </xf>
    <xf numFmtId="0" fontId="4" fillId="34" borderId="23" xfId="0" applyNumberFormat="1" applyFont="1" applyFill="1" applyBorder="1" applyAlignment="1" applyProtection="1">
      <alignment vertical="center"/>
    </xf>
    <xf numFmtId="0" fontId="4" fillId="34" borderId="24" xfId="0" applyNumberFormat="1" applyFont="1" applyFill="1" applyBorder="1" applyAlignment="1" applyProtection="1">
      <alignment vertical="center"/>
    </xf>
    <xf numFmtId="49" fontId="4" fillId="33" borderId="16" xfId="0" applyNumberFormat="1" applyFont="1" applyFill="1" applyBorder="1" applyAlignment="1" applyProtection="1">
      <alignment vertical="center" wrapText="1"/>
    </xf>
    <xf numFmtId="49" fontId="4" fillId="33" borderId="17" xfId="0" applyNumberFormat="1" applyFont="1" applyFill="1" applyBorder="1" applyAlignment="1" applyProtection="1">
      <alignment vertical="center" wrapText="1"/>
    </xf>
    <xf numFmtId="49" fontId="4" fillId="33" borderId="25" xfId="0" applyNumberFormat="1" applyFont="1" applyFill="1" applyBorder="1" applyAlignment="1" applyProtection="1">
      <alignment vertical="center" wrapText="1"/>
    </xf>
    <xf numFmtId="49" fontId="4" fillId="33" borderId="41" xfId="0" applyNumberFormat="1" applyFont="1" applyFill="1" applyBorder="1" applyAlignment="1" applyProtection="1">
      <alignment vertical="center" wrapText="1"/>
    </xf>
    <xf numFmtId="0" fontId="4" fillId="33" borderId="16" xfId="0" applyNumberFormat="1" applyFont="1" applyFill="1" applyBorder="1" applyAlignment="1" applyProtection="1">
      <alignment vertical="center" wrapText="1"/>
    </xf>
    <xf numFmtId="0" fontId="4" fillId="33" borderId="17" xfId="0" applyNumberFormat="1" applyFont="1" applyFill="1" applyBorder="1" applyAlignment="1" applyProtection="1">
      <alignment vertical="center" wrapText="1"/>
    </xf>
    <xf numFmtId="0" fontId="4" fillId="33" borderId="25" xfId="0" applyNumberFormat="1" applyFont="1" applyFill="1" applyBorder="1" applyAlignment="1" applyProtection="1">
      <alignment vertical="center" wrapText="1"/>
    </xf>
    <xf numFmtId="0" fontId="4" fillId="33" borderId="41" xfId="0" applyNumberFormat="1" applyFont="1" applyFill="1" applyBorder="1" applyAlignment="1" applyProtection="1">
      <alignment vertical="center" wrapText="1"/>
    </xf>
    <xf numFmtId="49" fontId="4" fillId="33" borderId="12" xfId="0" applyNumberFormat="1" applyFont="1" applyFill="1" applyBorder="1" applyAlignment="1" applyProtection="1">
      <alignment vertical="center"/>
    </xf>
    <xf numFmtId="49" fontId="4" fillId="33" borderId="15" xfId="0" applyNumberFormat="1" applyFont="1" applyFill="1" applyBorder="1" applyAlignment="1" applyProtection="1">
      <alignment vertical="center" wrapText="1"/>
    </xf>
    <xf numFmtId="0" fontId="4" fillId="33" borderId="12" xfId="0" applyNumberFormat="1" applyFont="1" applyFill="1" applyBorder="1" applyAlignment="1" applyProtection="1">
      <alignment vertical="center" wrapText="1"/>
    </xf>
    <xf numFmtId="0" fontId="4" fillId="33" borderId="26" xfId="0" applyNumberFormat="1" applyFont="1" applyFill="1" applyBorder="1" applyAlignment="1" applyProtection="1">
      <alignment horizontal="left" vertical="center" wrapText="1"/>
    </xf>
    <xf numFmtId="0" fontId="4" fillId="33" borderId="13" xfId="0" applyNumberFormat="1" applyFont="1" applyFill="1" applyBorder="1" applyAlignment="1" applyProtection="1">
      <alignment vertical="center" wrapText="1"/>
    </xf>
    <xf numFmtId="0" fontId="4" fillId="33" borderId="27" xfId="0" applyNumberFormat="1" applyFont="1" applyFill="1" applyBorder="1" applyAlignment="1" applyProtection="1">
      <alignment horizontal="right" vertical="center" wrapText="1"/>
    </xf>
    <xf numFmtId="0" fontId="4" fillId="30" borderId="13" xfId="0" applyNumberFormat="1" applyFont="1" applyFill="1" applyBorder="1" applyAlignment="1" applyProtection="1">
      <alignment vertical="center"/>
    </xf>
    <xf numFmtId="0" fontId="4" fillId="30" borderId="22" xfId="0" applyNumberFormat="1" applyFont="1" applyFill="1" applyBorder="1" applyAlignment="1" applyProtection="1">
      <alignment vertical="center"/>
    </xf>
    <xf numFmtId="0" fontId="4" fillId="30" borderId="21" xfId="0" applyNumberFormat="1" applyFont="1" applyFill="1" applyBorder="1" applyAlignment="1" applyProtection="1">
      <alignment vertical="center"/>
    </xf>
    <xf numFmtId="0" fontId="4" fillId="30" borderId="16" xfId="0" applyNumberFormat="1" applyFont="1" applyFill="1" applyBorder="1" applyAlignment="1" applyProtection="1">
      <alignment vertical="center"/>
    </xf>
    <xf numFmtId="0" fontId="4" fillId="30" borderId="17" xfId="0" applyNumberFormat="1" applyFont="1" applyFill="1" applyBorder="1" applyAlignment="1" applyProtection="1">
      <alignment vertical="center"/>
    </xf>
    <xf numFmtId="0" fontId="4" fillId="30" borderId="25" xfId="0" applyNumberFormat="1" applyFont="1" applyFill="1" applyBorder="1" applyAlignment="1" applyProtection="1">
      <alignment vertical="center"/>
    </xf>
    <xf numFmtId="49" fontId="4" fillId="30" borderId="10" xfId="0" applyNumberFormat="1" applyFont="1" applyFill="1" applyBorder="1" applyAlignment="1" applyProtection="1">
      <alignment horizontal="left" vertical="center"/>
    </xf>
    <xf numFmtId="0" fontId="4" fillId="30" borderId="13" xfId="0" applyNumberFormat="1" applyFont="1" applyFill="1" applyBorder="1" applyAlignment="1" applyProtection="1">
      <alignment horizontal="left" vertical="center"/>
    </xf>
    <xf numFmtId="0" fontId="4" fillId="30" borderId="14" xfId="0" applyNumberFormat="1" applyFont="1" applyFill="1" applyBorder="1" applyAlignment="1" applyProtection="1">
      <alignment horizontal="left" vertical="center"/>
    </xf>
    <xf numFmtId="0" fontId="4" fillId="30" borderId="27" xfId="0" applyNumberFormat="1" applyFont="1" applyFill="1" applyBorder="1" applyAlignment="1" applyProtection="1">
      <alignment vertical="center"/>
    </xf>
    <xf numFmtId="49" fontId="4" fillId="30" borderId="23" xfId="0" applyNumberFormat="1" applyFont="1" applyFill="1" applyBorder="1" applyAlignment="1" applyProtection="1">
      <alignment vertical="center"/>
    </xf>
    <xf numFmtId="0" fontId="4" fillId="33" borderId="18" xfId="0" applyNumberFormat="1" applyFont="1" applyFill="1" applyBorder="1" applyAlignment="1" applyProtection="1">
      <alignment vertical="center"/>
    </xf>
    <xf numFmtId="0" fontId="4" fillId="0" borderId="42" xfId="0" applyNumberFormat="1" applyFont="1" applyFill="1" applyBorder="1" applyAlignment="1" applyProtection="1">
      <alignment vertical="center"/>
    </xf>
    <xf numFmtId="0" fontId="4" fillId="0" borderId="43" xfId="0" applyNumberFormat="1" applyFont="1" applyFill="1" applyBorder="1" applyAlignment="1" applyProtection="1">
      <alignment vertical="center"/>
    </xf>
    <xf numFmtId="0" fontId="4" fillId="0" borderId="44" xfId="0" applyNumberFormat="1" applyFont="1" applyFill="1" applyBorder="1" applyAlignment="1" applyProtection="1">
      <alignment vertical="center"/>
    </xf>
    <xf numFmtId="0" fontId="4" fillId="0" borderId="36"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vertical="center"/>
    </xf>
    <xf numFmtId="0" fontId="4" fillId="0" borderId="13" xfId="0" applyNumberFormat="1" applyFont="1" applyFill="1" applyBorder="1" applyAlignment="1" applyProtection="1">
      <alignment vertical="center"/>
    </xf>
    <xf numFmtId="0" fontId="4" fillId="30" borderId="27" xfId="0" applyNumberFormat="1" applyFont="1" applyFill="1" applyBorder="1" applyAlignment="1" applyProtection="1">
      <alignment vertical="center"/>
    </xf>
    <xf numFmtId="182" fontId="4" fillId="0" borderId="0" xfId="0" applyNumberFormat="1" applyFont="1" applyFill="1" applyBorder="1" applyAlignment="1" applyProtection="1">
      <alignment vertical="center"/>
    </xf>
    <xf numFmtId="0" fontId="4" fillId="30" borderId="45" xfId="0" applyNumberFormat="1" applyFont="1" applyFill="1" applyBorder="1" applyAlignment="1" applyProtection="1">
      <alignment vertical="center"/>
    </xf>
    <xf numFmtId="49" fontId="4" fillId="30" borderId="16" xfId="0" applyNumberFormat="1" applyFont="1" applyFill="1" applyBorder="1" applyAlignment="1" applyProtection="1">
      <alignment vertical="center"/>
    </xf>
    <xf numFmtId="49" fontId="4" fillId="30" borderId="12" xfId="0" applyNumberFormat="1" applyFont="1" applyFill="1" applyBorder="1" applyAlignment="1" applyProtection="1">
      <alignment vertical="center"/>
    </xf>
    <xf numFmtId="49" fontId="4" fillId="30" borderId="25" xfId="0" applyNumberFormat="1" applyFont="1" applyFill="1" applyBorder="1" applyAlignment="1" applyProtection="1">
      <alignment vertical="center"/>
    </xf>
    <xf numFmtId="49" fontId="4" fillId="30" borderId="13" xfId="0" applyNumberFormat="1" applyFont="1" applyFill="1" applyBorder="1" applyAlignment="1" applyProtection="1">
      <alignment vertical="center"/>
    </xf>
    <xf numFmtId="0" fontId="6" fillId="30" borderId="0" xfId="0" applyNumberFormat="1" applyFont="1" applyFill="1" applyBorder="1" applyAlignment="1" applyProtection="1">
      <alignment vertical="center"/>
    </xf>
    <xf numFmtId="49" fontId="4" fillId="24" borderId="13" xfId="0" applyNumberFormat="1" applyFont="1" applyFill="1" applyBorder="1" applyAlignment="1" applyProtection="1">
      <alignment vertical="center" shrinkToFit="1"/>
    </xf>
    <xf numFmtId="183" fontId="4" fillId="0" borderId="0" xfId="0" applyNumberFormat="1" applyFont="1" applyFill="1" applyBorder="1" applyAlignment="1" applyProtection="1">
      <alignment horizontal="center" vertical="center"/>
    </xf>
    <xf numFmtId="0" fontId="4" fillId="31" borderId="18" xfId="0" applyNumberFormat="1" applyFont="1" applyFill="1" applyBorder="1" applyAlignment="1" applyProtection="1">
      <alignment vertical="center" wrapText="1"/>
    </xf>
    <xf numFmtId="178" fontId="4" fillId="0" borderId="0" xfId="0" applyNumberFormat="1" applyFont="1" applyFill="1" applyBorder="1" applyAlignment="1" applyProtection="1">
      <alignment horizontal="left" vertical="center"/>
    </xf>
    <xf numFmtId="49" fontId="4" fillId="31" borderId="12" xfId="0" applyNumberFormat="1" applyFont="1" applyFill="1" applyBorder="1" applyAlignment="1" applyProtection="1">
      <alignment vertical="center"/>
    </xf>
    <xf numFmtId="49" fontId="4" fillId="31" borderId="12" xfId="0" applyNumberFormat="1" applyFont="1" applyFill="1" applyBorder="1" applyAlignment="1" applyProtection="1">
      <alignment vertical="center" wrapText="1"/>
    </xf>
    <xf numFmtId="0" fontId="4" fillId="0" borderId="0" xfId="1" applyNumberFormat="1" applyFont="1" applyFill="1" applyBorder="1" applyAlignment="1" applyProtection="1">
      <alignment vertical="center"/>
      <protection locked="0"/>
    </xf>
    <xf numFmtId="49" fontId="4" fillId="0" borderId="0" xfId="1" applyNumberFormat="1" applyFont="1" applyFill="1" applyBorder="1" applyAlignment="1" applyProtection="1">
      <alignment vertical="center"/>
      <protection locked="0"/>
    </xf>
    <xf numFmtId="0" fontId="4" fillId="24" borderId="22" xfId="0" applyNumberFormat="1" applyFont="1" applyFill="1" applyBorder="1" applyAlignment="1" applyProtection="1">
      <alignment vertical="center" shrinkToFit="1"/>
    </xf>
    <xf numFmtId="49" fontId="4" fillId="30" borderId="17" xfId="0" applyNumberFormat="1" applyFont="1" applyFill="1" applyBorder="1" applyAlignment="1" applyProtection="1">
      <alignment horizontal="left" vertical="center"/>
    </xf>
    <xf numFmtId="0" fontId="35" fillId="30" borderId="13" xfId="0" applyNumberFormat="1" applyFont="1" applyFill="1" applyBorder="1" applyAlignment="1" applyProtection="1">
      <alignment vertical="center"/>
    </xf>
    <xf numFmtId="0" fontId="4" fillId="34" borderId="12" xfId="0" applyNumberFormat="1" applyFont="1" applyFill="1" applyBorder="1" applyAlignment="1" applyProtection="1">
      <alignment vertical="center" wrapText="1"/>
    </xf>
    <xf numFmtId="0" fontId="4" fillId="34" borderId="15" xfId="0" applyNumberFormat="1" applyFont="1" applyFill="1" applyBorder="1" applyAlignment="1" applyProtection="1">
      <alignment vertical="center" wrapText="1"/>
    </xf>
    <xf numFmtId="0" fontId="4" fillId="0" borderId="12" xfId="0" applyNumberFormat="1" applyFont="1" applyFill="1" applyBorder="1" applyAlignment="1" applyProtection="1">
      <alignment vertical="center" wrapText="1"/>
    </xf>
    <xf numFmtId="0" fontId="4" fillId="0" borderId="15"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left" vertical="center"/>
    </xf>
    <xf numFmtId="0" fontId="4" fillId="30" borderId="12" xfId="0" applyNumberFormat="1" applyFont="1" applyFill="1" applyBorder="1" applyAlignment="1" applyProtection="1">
      <alignment vertical="center" wrapText="1"/>
    </xf>
    <xf numFmtId="0" fontId="4" fillId="30" borderId="15" xfId="0" applyNumberFormat="1" applyFont="1" applyFill="1" applyBorder="1" applyAlignment="1" applyProtection="1">
      <alignment horizontal="left" vertical="center" wrapText="1"/>
    </xf>
    <xf numFmtId="176" fontId="0" fillId="0" borderId="0" xfId="0" applyNumberFormat="1" applyFont="1" applyFill="1" applyBorder="1" applyAlignment="1" applyProtection="1">
      <alignment horizontal="left" vertical="center"/>
    </xf>
    <xf numFmtId="0" fontId="4" fillId="24" borderId="12" xfId="0" applyNumberFormat="1" applyFont="1" applyFill="1" applyBorder="1" applyAlignment="1" applyProtection="1">
      <alignment vertical="center" wrapText="1"/>
    </xf>
    <xf numFmtId="0" fontId="4" fillId="33" borderId="46" xfId="0" applyNumberFormat="1" applyFont="1" applyFill="1" applyBorder="1" applyAlignment="1" applyProtection="1">
      <alignment vertical="center" wrapText="1"/>
    </xf>
    <xf numFmtId="0" fontId="4" fillId="33" borderId="11" xfId="0" applyNumberFormat="1" applyFont="1" applyFill="1" applyBorder="1" applyAlignment="1" applyProtection="1">
      <alignment vertical="center" wrapText="1"/>
    </xf>
    <xf numFmtId="0" fontId="4" fillId="30" borderId="12" xfId="0" applyNumberFormat="1" applyFont="1" applyFill="1" applyBorder="1" applyAlignment="1" applyProtection="1">
      <alignment vertical="center"/>
    </xf>
    <xf numFmtId="0" fontId="4" fillId="30" borderId="11" xfId="0" applyNumberFormat="1" applyFont="1" applyFill="1" applyBorder="1" applyAlignment="1" applyProtection="1">
      <alignment vertical="center"/>
    </xf>
    <xf numFmtId="0" fontId="4" fillId="30" borderId="46" xfId="0" applyNumberFormat="1" applyFont="1" applyFill="1" applyBorder="1" applyAlignment="1" applyProtection="1">
      <alignment vertical="center" wrapText="1"/>
    </xf>
    <xf numFmtId="49" fontId="4" fillId="33" borderId="12" xfId="0" applyNumberFormat="1" applyFont="1" applyFill="1" applyBorder="1" applyAlignment="1" applyProtection="1">
      <alignment vertical="center"/>
    </xf>
    <xf numFmtId="0" fontId="4" fillId="33" borderId="11" xfId="0" applyNumberFormat="1" applyFont="1" applyFill="1" applyBorder="1" applyAlignment="1" applyProtection="1">
      <alignment vertical="center"/>
    </xf>
    <xf numFmtId="0" fontId="4" fillId="33" borderId="32" xfId="0" applyNumberFormat="1" applyFont="1" applyFill="1" applyBorder="1" applyAlignment="1" applyProtection="1">
      <alignment vertical="center" wrapText="1"/>
    </xf>
    <xf numFmtId="0" fontId="4" fillId="30" borderId="47" xfId="0" applyNumberFormat="1" applyFont="1" applyFill="1" applyBorder="1" applyAlignment="1" applyProtection="1">
      <alignment horizontal="left" vertical="center" wrapText="1"/>
    </xf>
    <xf numFmtId="0" fontId="4" fillId="33" borderId="12" xfId="0" applyNumberFormat="1" applyFont="1" applyFill="1" applyBorder="1" applyAlignment="1" applyProtection="1">
      <alignment vertical="center"/>
    </xf>
    <xf numFmtId="0" fontId="4" fillId="33" borderId="15" xfId="0" applyNumberFormat="1" applyFont="1" applyFill="1" applyBorder="1" applyAlignment="1" applyProtection="1">
      <alignment vertical="center" wrapText="1"/>
    </xf>
    <xf numFmtId="49" fontId="4" fillId="30" borderId="12" xfId="0" applyNumberFormat="1" applyFont="1" applyFill="1" applyBorder="1" applyAlignment="1" applyProtection="1">
      <alignment horizontal="left" vertical="center"/>
    </xf>
    <xf numFmtId="0" fontId="4" fillId="33" borderId="12" xfId="0" applyNumberFormat="1" applyFont="1" applyFill="1" applyBorder="1" applyAlignment="1" applyProtection="1">
      <alignment vertical="center" wrapText="1"/>
    </xf>
    <xf numFmtId="0" fontId="4" fillId="33" borderId="18" xfId="0" applyNumberFormat="1" applyFont="1" applyFill="1" applyBorder="1" applyAlignment="1" applyProtection="1">
      <alignment horizontal="left" vertical="center" wrapText="1"/>
    </xf>
    <xf numFmtId="180" fontId="4" fillId="30" borderId="0" xfId="0" applyNumberFormat="1" applyFont="1" applyFill="1" applyBorder="1" applyAlignment="1" applyProtection="1">
      <alignment horizontal="left" vertical="center"/>
    </xf>
    <xf numFmtId="49" fontId="4" fillId="30" borderId="0" xfId="0" applyNumberFormat="1" applyFont="1" applyFill="1" applyBorder="1" applyAlignment="1" applyProtection="1">
      <alignment horizontal="left" vertical="center"/>
    </xf>
    <xf numFmtId="49" fontId="4" fillId="30" borderId="0" xfId="0" applyNumberFormat="1" applyFont="1" applyFill="1" applyBorder="1" applyAlignment="1" applyProtection="1">
      <alignment vertical="center"/>
    </xf>
    <xf numFmtId="176" fontId="4" fillId="30" borderId="0" xfId="0" applyNumberFormat="1" applyFont="1" applyFill="1" applyBorder="1" applyAlignment="1" applyProtection="1">
      <alignment horizontal="left" vertical="center"/>
    </xf>
    <xf numFmtId="0" fontId="4" fillId="33" borderId="0" xfId="0" applyNumberFormat="1" applyFont="1" applyFill="1" applyBorder="1" applyAlignment="1" applyProtection="1">
      <alignment horizontal="left" vertical="center"/>
    </xf>
    <xf numFmtId="0" fontId="0" fillId="33" borderId="0" xfId="0" applyNumberFormat="1" applyFont="1" applyFill="1" applyBorder="1" applyAlignment="1" applyProtection="1">
      <alignment horizontal="left" vertical="center"/>
    </xf>
    <xf numFmtId="180" fontId="4" fillId="33" borderId="0" xfId="0" applyNumberFormat="1" applyFont="1" applyFill="1" applyBorder="1" applyAlignment="1" applyProtection="1">
      <alignment horizontal="left" vertical="center"/>
    </xf>
    <xf numFmtId="0" fontId="4" fillId="31" borderId="0" xfId="0" applyNumberFormat="1" applyFont="1" applyFill="1" applyBorder="1" applyAlignment="1" applyProtection="1">
      <alignment horizontal="left" vertical="center"/>
    </xf>
    <xf numFmtId="0" fontId="4" fillId="30" borderId="0" xfId="0" applyNumberFormat="1" applyFont="1" applyFill="1" applyBorder="1" applyAlignment="1" applyProtection="1">
      <alignment horizontal="left" vertical="center" wrapText="1"/>
    </xf>
    <xf numFmtId="49" fontId="4" fillId="31" borderId="0" xfId="0" applyNumberFormat="1" applyFont="1" applyFill="1" applyBorder="1" applyAlignment="1" applyProtection="1">
      <alignment horizontal="left" vertical="center"/>
    </xf>
    <xf numFmtId="49" fontId="4" fillId="30" borderId="0" xfId="1" applyNumberFormat="1" applyFont="1" applyFill="1" applyBorder="1" applyAlignment="1" applyProtection="1">
      <alignment vertical="center"/>
      <protection locked="0"/>
    </xf>
    <xf numFmtId="49" fontId="12" fillId="30" borderId="0" xfId="1" applyNumberFormat="1" applyFont="1" applyFill="1" applyBorder="1" applyAlignment="1" applyProtection="1">
      <alignment vertical="center"/>
      <protection locked="0"/>
    </xf>
    <xf numFmtId="0" fontId="35" fillId="30" borderId="0" xfId="0" applyNumberFormat="1" applyFont="1" applyFill="1" applyBorder="1" applyAlignment="1" applyProtection="1">
      <alignment vertical="center"/>
    </xf>
    <xf numFmtId="0" fontId="4" fillId="30" borderId="0" xfId="1" applyNumberFormat="1" applyFont="1" applyFill="1" applyBorder="1" applyAlignment="1" applyProtection="1">
      <alignment vertical="center"/>
      <protection locked="0"/>
    </xf>
    <xf numFmtId="49" fontId="4" fillId="30" borderId="0" xfId="0" applyNumberFormat="1" applyFont="1" applyFill="1" applyBorder="1" applyAlignment="1" applyProtection="1">
      <alignment horizontal="left" vertical="top"/>
    </xf>
    <xf numFmtId="0" fontId="4" fillId="30" borderId="0" xfId="0" applyNumberFormat="1" applyFont="1" applyFill="1" applyBorder="1" applyAlignment="1" applyProtection="1">
      <alignment horizontal="left" vertical="top"/>
    </xf>
    <xf numFmtId="178" fontId="4" fillId="31" borderId="0" xfId="0" applyNumberFormat="1" applyFont="1" applyFill="1" applyBorder="1" applyAlignment="1" applyProtection="1">
      <alignment horizontal="left" vertical="center"/>
    </xf>
    <xf numFmtId="179" fontId="4" fillId="31" borderId="0" xfId="0" applyNumberFormat="1" applyFont="1" applyFill="1" applyBorder="1" applyAlignment="1" applyProtection="1">
      <alignment horizontal="left" vertical="center"/>
    </xf>
    <xf numFmtId="178" fontId="4" fillId="30" borderId="0" xfId="0" applyNumberFormat="1" applyFont="1" applyFill="1" applyBorder="1" applyAlignment="1" applyProtection="1">
      <alignment horizontal="left" vertical="center"/>
    </xf>
    <xf numFmtId="177" fontId="4" fillId="30" borderId="0" xfId="0" applyNumberFormat="1" applyFont="1" applyFill="1" applyBorder="1" applyAlignment="1" applyProtection="1">
      <alignment horizontal="left" vertical="center"/>
    </xf>
    <xf numFmtId="181" fontId="4" fillId="30" borderId="0" xfId="0" applyNumberFormat="1" applyFont="1" applyFill="1" applyBorder="1" applyAlignment="1" applyProtection="1">
      <alignment horizontal="left" vertical="center"/>
    </xf>
    <xf numFmtId="184" fontId="4" fillId="30" borderId="0" xfId="0" applyNumberFormat="1" applyFont="1" applyFill="1" applyBorder="1" applyAlignment="1" applyProtection="1">
      <alignment horizontal="left" vertical="center"/>
    </xf>
    <xf numFmtId="182" fontId="4" fillId="30" borderId="0" xfId="0" applyNumberFormat="1" applyFont="1" applyFill="1" applyBorder="1" applyAlignment="1" applyProtection="1">
      <alignment vertical="center"/>
    </xf>
    <xf numFmtId="177" fontId="4" fillId="30" borderId="0" xfId="0" applyNumberFormat="1" applyFont="1" applyFill="1" applyBorder="1" applyAlignment="1" applyProtection="1">
      <alignment vertical="center"/>
    </xf>
    <xf numFmtId="184" fontId="4" fillId="30" borderId="0" xfId="0" applyNumberFormat="1" applyFont="1" applyFill="1" applyBorder="1" applyAlignment="1" applyProtection="1">
      <alignment vertical="center"/>
    </xf>
    <xf numFmtId="184" fontId="4" fillId="35" borderId="0" xfId="0" applyNumberFormat="1" applyFont="1" applyFill="1" applyBorder="1" applyAlignment="1" applyProtection="1">
      <alignment horizontal="left" vertical="center"/>
    </xf>
    <xf numFmtId="49" fontId="4" fillId="24" borderId="12" xfId="0" applyNumberFormat="1" applyFont="1" applyFill="1" applyBorder="1" applyAlignment="1" applyProtection="1">
      <alignment vertical="center" shrinkToFit="1"/>
    </xf>
    <xf numFmtId="0" fontId="4" fillId="24" borderId="27" xfId="0" applyNumberFormat="1" applyFont="1" applyFill="1" applyBorder="1" applyAlignment="1" applyProtection="1">
      <alignment vertical="center" shrinkToFit="1"/>
    </xf>
    <xf numFmtId="0" fontId="4" fillId="24" borderId="48" xfId="0" applyNumberFormat="1" applyFont="1" applyFill="1" applyBorder="1" applyAlignment="1" applyProtection="1">
      <alignment vertical="center" shrinkToFit="1"/>
    </xf>
    <xf numFmtId="0" fontId="9" fillId="0" borderId="11"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left" vertical="center" wrapText="1"/>
    </xf>
    <xf numFmtId="0" fontId="12" fillId="0" borderId="49" xfId="0" applyNumberFormat="1" applyFont="1" applyFill="1" applyBorder="1" applyAlignment="1" applyProtection="1">
      <alignment vertical="center"/>
    </xf>
    <xf numFmtId="0" fontId="12" fillId="0" borderId="0" xfId="0" applyNumberFormat="1" applyFont="1" applyFill="1" applyBorder="1" applyAlignment="1" applyProtection="1">
      <alignment horizontal="right" vertical="center"/>
    </xf>
    <xf numFmtId="0" fontId="12" fillId="27" borderId="0" xfId="0" applyNumberFormat="1" applyFont="1" applyFill="1" applyBorder="1" applyAlignment="1" applyProtection="1">
      <alignment horizontal="right" vertical="center"/>
      <protection locked="0" hidden="1"/>
    </xf>
    <xf numFmtId="0" fontId="12" fillId="27" borderId="49" xfId="0" applyNumberFormat="1" applyFont="1" applyFill="1" applyBorder="1" applyAlignment="1" applyProtection="1">
      <alignment horizontal="right" vertical="center"/>
      <protection locked="0" hidden="1"/>
    </xf>
    <xf numFmtId="0" fontId="12" fillId="0" borderId="50" xfId="0" applyNumberFormat="1" applyFont="1" applyFill="1" applyBorder="1" applyAlignment="1" applyProtection="1">
      <alignment vertical="center"/>
    </xf>
    <xf numFmtId="0" fontId="12" fillId="27" borderId="50" xfId="0" applyNumberFormat="1" applyFont="1" applyFill="1" applyBorder="1" applyAlignment="1" applyProtection="1">
      <alignment horizontal="right" vertical="center"/>
      <protection locked="0" hidden="1"/>
    </xf>
    <xf numFmtId="0" fontId="12" fillId="0" borderId="49"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vertical="center"/>
    </xf>
    <xf numFmtId="0" fontId="14" fillId="36" borderId="0"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right" vertical="center"/>
    </xf>
    <xf numFmtId="0" fontId="9" fillId="0" borderId="51" xfId="0" applyNumberFormat="1" applyFont="1" applyFill="1" applyBorder="1" applyAlignment="1" applyProtection="1">
      <alignment vertical="center"/>
    </xf>
    <xf numFmtId="0" fontId="9" fillId="0" borderId="11"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vertical="center" wrapText="1"/>
    </xf>
    <xf numFmtId="0" fontId="9" fillId="0" borderId="11" xfId="0" applyNumberFormat="1" applyFont="1" applyFill="1" applyBorder="1" applyAlignment="1" applyProtection="1">
      <alignment vertical="center"/>
    </xf>
    <xf numFmtId="0" fontId="16" fillId="0" borderId="0" xfId="0" applyNumberFormat="1" applyFont="1" applyFill="1" applyBorder="1" applyAlignment="1" applyProtection="1">
      <alignment vertical="top"/>
    </xf>
    <xf numFmtId="0" fontId="14" fillId="0" borderId="21" xfId="0" applyNumberFormat="1" applyFont="1" applyFill="1" applyBorder="1" applyAlignment="1" applyProtection="1">
      <alignment horizontal="center" vertical="center"/>
    </xf>
    <xf numFmtId="0" fontId="14" fillId="0" borderId="12" xfId="0" applyNumberFormat="1" applyFont="1" applyFill="1" applyBorder="1" applyAlignment="1" applyProtection="1">
      <alignment horizontal="center" vertical="center"/>
    </xf>
    <xf numFmtId="0" fontId="14" fillId="0" borderId="13" xfId="0" applyNumberFormat="1" applyFont="1" applyFill="1" applyBorder="1" applyAlignment="1" applyProtection="1">
      <alignment horizontal="center" vertical="center"/>
    </xf>
    <xf numFmtId="0" fontId="14" fillId="0" borderId="11" xfId="0" applyNumberFormat="1" applyFont="1" applyFill="1" applyBorder="1" applyAlignment="1" applyProtection="1">
      <alignment horizontal="center" vertical="center" wrapText="1"/>
    </xf>
    <xf numFmtId="0" fontId="14" fillId="0" borderId="0" xfId="120" applyNumberFormat="1" applyFont="1" applyFill="1" applyBorder="1" applyAlignment="1" applyProtection="1">
      <alignment vertical="center"/>
    </xf>
    <xf numFmtId="0" fontId="16" fillId="0" borderId="0" xfId="120" applyNumberFormat="1" applyFont="1" applyFill="1" applyBorder="1" applyAlignment="1" applyProtection="1">
      <alignment vertical="top"/>
    </xf>
    <xf numFmtId="0" fontId="14" fillId="0" borderId="0" xfId="120" applyNumberFormat="1" applyFont="1" applyFill="1" applyBorder="1" applyAlignment="1" applyProtection="1">
      <alignment vertical="center" shrinkToFit="1"/>
    </xf>
    <xf numFmtId="0" fontId="6" fillId="0" borderId="0" xfId="121" applyNumberFormat="1" applyFont="1" applyFill="1" applyBorder="1" applyAlignment="1" applyProtection="1">
      <alignment vertical="center"/>
    </xf>
    <xf numFmtId="0" fontId="14" fillId="0" borderId="0" xfId="121" applyNumberFormat="1" applyFont="1" applyFill="1" applyBorder="1" applyAlignment="1" applyProtection="1">
      <alignment horizontal="right" vertical="center"/>
    </xf>
    <xf numFmtId="0" fontId="14" fillId="0" borderId="0" xfId="121" applyNumberFormat="1" applyFont="1" applyFill="1" applyBorder="1" applyAlignment="1" applyProtection="1">
      <alignment vertical="center"/>
    </xf>
    <xf numFmtId="0" fontId="14" fillId="0" borderId="0" xfId="121" applyNumberFormat="1" applyFont="1" applyFill="1" applyBorder="1" applyAlignment="1" applyProtection="1">
      <alignment vertical="center" shrinkToFit="1"/>
    </xf>
    <xf numFmtId="0" fontId="14" fillId="0" borderId="0" xfId="121" applyNumberFormat="1" applyFont="1" applyFill="1" applyBorder="1" applyAlignment="1" applyProtection="1">
      <alignment vertical="top"/>
    </xf>
    <xf numFmtId="0" fontId="16" fillId="0" borderId="0" xfId="121" applyNumberFormat="1" applyFont="1" applyFill="1" applyBorder="1" applyAlignment="1" applyProtection="1">
      <alignment vertical="top"/>
    </xf>
    <xf numFmtId="0" fontId="14" fillId="0" borderId="10" xfId="121" applyNumberFormat="1" applyFont="1" applyFill="1" applyBorder="1" applyAlignment="1" applyProtection="1">
      <alignment horizontal="center" vertical="center"/>
    </xf>
    <xf numFmtId="0" fontId="14" fillId="0" borderId="52" xfId="121" applyNumberFormat="1" applyFont="1" applyFill="1" applyBorder="1" applyAlignment="1" applyProtection="1">
      <alignment vertical="center"/>
    </xf>
    <xf numFmtId="0" fontId="14" fillId="0" borderId="21" xfId="121" applyNumberFormat="1" applyFont="1" applyFill="1" applyBorder="1" applyAlignment="1" applyProtection="1">
      <alignment horizontal="center" vertical="center"/>
    </xf>
    <xf numFmtId="0" fontId="14" fillId="0" borderId="50" xfId="121" applyNumberFormat="1" applyFont="1" applyFill="1" applyBorder="1" applyAlignment="1" applyProtection="1">
      <alignment vertical="center"/>
    </xf>
    <xf numFmtId="0" fontId="14" fillId="0" borderId="14" xfId="121" applyNumberFormat="1" applyFont="1" applyFill="1" applyBorder="1" applyAlignment="1" applyProtection="1">
      <alignment vertical="center"/>
    </xf>
    <xf numFmtId="0" fontId="14" fillId="0" borderId="53" xfId="121"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vertical="center"/>
    </xf>
    <xf numFmtId="0" fontId="4" fillId="0" borderId="36" xfId="0" applyNumberFormat="1" applyFont="1" applyFill="1" applyBorder="1" applyAlignment="1" applyProtection="1">
      <alignment vertical="center"/>
    </xf>
    <xf numFmtId="176" fontId="4" fillId="0" borderId="36" xfId="0" applyNumberFormat="1" applyFont="1" applyFill="1" applyBorder="1" applyAlignment="1" applyProtection="1">
      <alignment vertical="center"/>
    </xf>
    <xf numFmtId="0" fontId="4" fillId="0" borderId="36" xfId="0" applyNumberFormat="1" applyFont="1" applyFill="1" applyBorder="1" applyAlignment="1" applyProtection="1">
      <alignment vertical="center" shrinkToFit="1"/>
    </xf>
    <xf numFmtId="0" fontId="4" fillId="0" borderId="54" xfId="0" applyNumberFormat="1" applyFont="1" applyFill="1" applyBorder="1" applyAlignment="1" applyProtection="1">
      <alignment vertical="center"/>
    </xf>
    <xf numFmtId="0" fontId="4" fillId="0" borderId="55" xfId="0" applyNumberFormat="1" applyFont="1" applyFill="1" applyBorder="1" applyAlignment="1" applyProtection="1">
      <alignment vertical="center"/>
    </xf>
    <xf numFmtId="176" fontId="4" fillId="0" borderId="56" xfId="0" applyNumberFormat="1" applyFont="1" applyFill="1" applyBorder="1" applyAlignment="1" applyProtection="1">
      <alignment vertical="center"/>
    </xf>
    <xf numFmtId="0" fontId="4" fillId="0" borderId="56" xfId="0" applyNumberFormat="1" applyFont="1" applyFill="1" applyBorder="1" applyAlignment="1" applyProtection="1">
      <alignment vertical="center"/>
    </xf>
    <xf numFmtId="0" fontId="4" fillId="0" borderId="42" xfId="0" applyNumberFormat="1" applyFont="1" applyFill="1" applyBorder="1" applyAlignment="1" applyProtection="1">
      <alignment horizontal="center" vertical="center"/>
    </xf>
    <xf numFmtId="176" fontId="4" fillId="0" borderId="42" xfId="0" applyNumberFormat="1" applyFont="1" applyFill="1" applyBorder="1" applyAlignment="1" applyProtection="1">
      <alignment vertical="center"/>
    </xf>
    <xf numFmtId="0" fontId="0" fillId="0" borderId="36" xfId="0" applyNumberFormat="1" applyFont="1" applyFill="1" applyBorder="1" applyAlignment="1" applyProtection="1">
      <alignment vertical="center"/>
    </xf>
    <xf numFmtId="176" fontId="0" fillId="0" borderId="36" xfId="0" applyNumberFormat="1" applyFont="1" applyFill="1" applyBorder="1" applyAlignment="1" applyProtection="1">
      <alignment vertical="center"/>
    </xf>
    <xf numFmtId="0" fontId="0" fillId="34" borderId="36" xfId="0" applyNumberFormat="1" applyFont="1" applyFill="1" applyBorder="1" applyAlignment="1" applyProtection="1">
      <alignment vertical="center"/>
    </xf>
    <xf numFmtId="0" fontId="0" fillId="34" borderId="0"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0" fontId="0" fillId="0" borderId="57" xfId="0" applyNumberFormat="1" applyFont="1" applyFill="1" applyBorder="1" applyAlignment="1" applyProtection="1">
      <alignment vertical="center"/>
    </xf>
    <xf numFmtId="0" fontId="12" fillId="0" borderId="11" xfId="0" applyNumberFormat="1" applyFont="1" applyFill="1" applyBorder="1" applyAlignment="1" applyProtection="1">
      <alignment horizontal="justify" vertical="center" wrapText="1"/>
    </xf>
    <xf numFmtId="0" fontId="14" fillId="0" borderId="11" xfId="0" applyNumberFormat="1" applyFont="1" applyFill="1" applyBorder="1" applyAlignment="1" applyProtection="1">
      <alignment vertical="center" wrapText="1"/>
    </xf>
    <xf numFmtId="0" fontId="0" fillId="0" borderId="11" xfId="0" applyNumberFormat="1" applyFont="1" applyFill="1" applyBorder="1" applyAlignment="1" applyProtection="1">
      <alignment vertical="center"/>
    </xf>
    <xf numFmtId="0" fontId="12" fillId="0" borderId="11" xfId="0" applyNumberFormat="1" applyFont="1" applyFill="1" applyBorder="1" applyAlignment="1" applyProtection="1">
      <alignment horizontal="center" vertical="center" wrapText="1"/>
    </xf>
    <xf numFmtId="0" fontId="12" fillId="0" borderId="58" xfId="0" applyNumberFormat="1" applyFont="1" applyFill="1" applyBorder="1" applyAlignment="1" applyProtection="1">
      <alignment horizontal="center" vertical="center" wrapText="1"/>
    </xf>
    <xf numFmtId="0" fontId="12" fillId="0" borderId="58" xfId="0" applyNumberFormat="1" applyFont="1" applyFill="1" applyBorder="1" applyAlignment="1" applyProtection="1">
      <alignment horizontal="justify" vertical="center" wrapText="1"/>
    </xf>
    <xf numFmtId="0" fontId="14" fillId="0" borderId="59" xfId="0" applyNumberFormat="1" applyFont="1" applyFill="1" applyBorder="1" applyAlignment="1" applyProtection="1">
      <alignment horizontal="center" vertical="center" wrapText="1"/>
    </xf>
    <xf numFmtId="0" fontId="0" fillId="0" borderId="59" xfId="0" applyNumberFormat="1" applyFont="1" applyFill="1" applyBorder="1" applyAlignment="1" applyProtection="1">
      <alignment vertical="center"/>
    </xf>
    <xf numFmtId="0" fontId="14" fillId="0" borderId="59"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center" vertical="center"/>
    </xf>
    <xf numFmtId="0" fontId="16" fillId="0" borderId="0" xfId="121" applyNumberFormat="1" applyFont="1" applyFill="1" applyBorder="1" applyAlignment="1" applyProtection="1">
      <alignment horizontal="left" vertical="center"/>
    </xf>
    <xf numFmtId="0" fontId="38" fillId="0" borderId="0" xfId="121" applyNumberFormat="1" applyFont="1" applyFill="1" applyBorder="1" applyAlignment="1" applyProtection="1">
      <alignment horizontal="center" vertical="center"/>
    </xf>
    <xf numFmtId="0" fontId="14" fillId="0" borderId="0" xfId="121"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top"/>
    </xf>
    <xf numFmtId="180" fontId="14"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distributed" vertical="center"/>
    </xf>
    <xf numFmtId="0" fontId="42" fillId="0" borderId="0" xfId="0" applyNumberFormat="1" applyFont="1" applyFill="1" applyBorder="1" applyAlignment="1" applyProtection="1">
      <alignment horizontal="distributed" vertical="center"/>
    </xf>
    <xf numFmtId="0" fontId="40" fillId="0" borderId="22" xfId="0" applyNumberFormat="1" applyFont="1" applyFill="1" applyBorder="1" applyAlignment="1" applyProtection="1">
      <alignment horizontal="distributed" vertical="center"/>
    </xf>
    <xf numFmtId="0" fontId="40" fillId="0" borderId="49" xfId="0" applyNumberFormat="1" applyFont="1" applyFill="1" applyBorder="1" applyAlignment="1" applyProtection="1">
      <alignment horizontal="distributed" vertical="center"/>
    </xf>
    <xf numFmtId="0" fontId="40" fillId="0" borderId="22" xfId="0" applyNumberFormat="1" applyFont="1" applyFill="1" applyBorder="1" applyAlignment="1" applyProtection="1">
      <alignment horizontal="center" vertical="center"/>
    </xf>
    <xf numFmtId="0" fontId="40" fillId="0" borderId="49" xfId="0" applyNumberFormat="1" applyFont="1" applyFill="1" applyBorder="1" applyAlignment="1" applyProtection="1">
      <alignment horizontal="center" vertical="center"/>
    </xf>
    <xf numFmtId="0" fontId="40" fillId="0" borderId="13" xfId="0" applyNumberFormat="1" applyFont="1" applyFill="1" applyBorder="1" applyAlignment="1" applyProtection="1">
      <alignment horizontal="distributed" vertical="center"/>
    </xf>
    <xf numFmtId="0" fontId="40" fillId="0" borderId="15" xfId="0" applyNumberFormat="1" applyFont="1" applyFill="1" applyBorder="1" applyAlignment="1" applyProtection="1">
      <alignment horizontal="distributed" vertical="center"/>
    </xf>
    <xf numFmtId="0" fontId="40" fillId="0" borderId="15"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12" xfId="0" applyNumberFormat="1" applyFont="1" applyFill="1" applyBorder="1" applyAlignment="1" applyProtection="1">
      <alignment horizontal="distributed" vertical="center"/>
    </xf>
    <xf numFmtId="0" fontId="40" fillId="0" borderId="0" xfId="0" applyNumberFormat="1" applyFont="1" applyFill="1" applyBorder="1" applyAlignment="1" applyProtection="1">
      <alignment vertical="center"/>
    </xf>
    <xf numFmtId="0" fontId="40" fillId="0" borderId="0" xfId="0" applyNumberFormat="1" applyFont="1" applyFill="1" applyBorder="1" applyAlignment="1" applyProtection="1">
      <alignment horizontal="left" vertical="center"/>
    </xf>
    <xf numFmtId="0" fontId="40" fillId="0" borderId="12"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vertical="center"/>
    </xf>
    <xf numFmtId="0" fontId="42" fillId="0" borderId="12" xfId="0" applyNumberFormat="1" applyFont="1" applyFill="1" applyBorder="1" applyAlignment="1" applyProtection="1">
      <alignment vertical="center"/>
    </xf>
    <xf numFmtId="187" fontId="40" fillId="0" borderId="0" xfId="0" applyNumberFormat="1" applyFont="1" applyFill="1" applyBorder="1" applyAlignment="1" applyProtection="1">
      <alignment horizontal="center" vertical="center"/>
    </xf>
    <xf numFmtId="0" fontId="40" fillId="0" borderId="12" xfId="0" applyNumberFormat="1" applyFont="1" applyFill="1" applyBorder="1" applyAlignment="1" applyProtection="1">
      <alignment horizontal="center" vertical="center"/>
    </xf>
    <xf numFmtId="0" fontId="40" fillId="0" borderId="49" xfId="0" applyNumberFormat="1" applyFont="1" applyFill="1" applyBorder="1" applyAlignment="1" applyProtection="1">
      <alignment vertical="center"/>
    </xf>
    <xf numFmtId="187" fontId="40" fillId="0" borderId="49" xfId="0" applyNumberFormat="1" applyFont="1" applyFill="1" applyBorder="1" applyAlignment="1" applyProtection="1">
      <alignment horizontal="center" vertical="center"/>
    </xf>
    <xf numFmtId="0" fontId="40" fillId="0" borderId="13"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center"/>
    </xf>
    <xf numFmtId="0" fontId="40" fillId="0" borderId="15" xfId="0" applyNumberFormat="1" applyFont="1" applyFill="1" applyBorder="1" applyAlignment="1" applyProtection="1">
      <alignment vertical="center"/>
    </xf>
    <xf numFmtId="0" fontId="42" fillId="0" borderId="22" xfId="0" applyNumberFormat="1" applyFont="1" applyFill="1" applyBorder="1" applyAlignment="1" applyProtection="1">
      <alignment horizontal="left" vertical="top"/>
    </xf>
    <xf numFmtId="0" fontId="42" fillId="0" borderId="49" xfId="0" applyNumberFormat="1" applyFont="1" applyFill="1" applyBorder="1" applyAlignment="1" applyProtection="1">
      <alignment horizontal="left" vertical="top"/>
    </xf>
    <xf numFmtId="0" fontId="40" fillId="0" borderId="49" xfId="0" applyNumberFormat="1" applyFont="1" applyFill="1" applyBorder="1" applyAlignment="1" applyProtection="1">
      <alignment horizontal="center" vertical="center" textRotation="255"/>
    </xf>
    <xf numFmtId="0" fontId="42" fillId="0" borderId="15" xfId="0" applyNumberFormat="1" applyFont="1" applyFill="1" applyBorder="1" applyAlignment="1" applyProtection="1">
      <alignment horizontal="left" vertical="top"/>
    </xf>
    <xf numFmtId="0" fontId="42" fillId="0" borderId="0" xfId="0" applyNumberFormat="1" applyFont="1" applyFill="1" applyBorder="1" applyAlignment="1" applyProtection="1">
      <alignment horizontal="left" vertical="top"/>
    </xf>
    <xf numFmtId="0" fontId="40" fillId="0" borderId="0" xfId="0" applyNumberFormat="1" applyFont="1" applyFill="1" applyBorder="1" applyAlignment="1" applyProtection="1">
      <alignment horizontal="center" vertical="center" textRotation="255"/>
    </xf>
    <xf numFmtId="0" fontId="42" fillId="0" borderId="0" xfId="0" applyNumberFormat="1" applyFont="1" applyFill="1" applyBorder="1" applyAlignment="1" applyProtection="1"/>
    <xf numFmtId="0" fontId="40" fillId="0" borderId="14" xfId="0" applyNumberFormat="1" applyFont="1" applyFill="1" applyBorder="1" applyAlignment="1" applyProtection="1">
      <alignment horizontal="distributed" vertical="center"/>
    </xf>
    <xf numFmtId="0" fontId="40" fillId="0" borderId="52" xfId="0" applyNumberFormat="1" applyFont="1" applyFill="1" applyBorder="1" applyAlignment="1" applyProtection="1">
      <alignment horizontal="distributed" vertical="center"/>
    </xf>
    <xf numFmtId="0" fontId="43" fillId="0" borderId="0"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distributed"/>
    </xf>
    <xf numFmtId="0" fontId="44" fillId="0" borderId="0" xfId="0" applyNumberFormat="1" applyFont="1" applyFill="1" applyBorder="1" applyAlignment="1" applyProtection="1">
      <alignment horizontal="center" vertical="center"/>
    </xf>
    <xf numFmtId="0" fontId="42" fillId="0" borderId="15" xfId="0" applyNumberFormat="1" applyFont="1" applyFill="1" applyBorder="1" applyAlignment="1" applyProtection="1"/>
    <xf numFmtId="0" fontId="42" fillId="0" borderId="49" xfId="0" applyNumberFormat="1" applyFont="1" applyFill="1" applyBorder="1" applyAlignment="1" applyProtection="1">
      <alignment horizontal="center" vertical="center"/>
    </xf>
    <xf numFmtId="0" fontId="44"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horizontal="distributed" vertical="center"/>
    </xf>
    <xf numFmtId="0" fontId="41" fillId="37" borderId="0" xfId="0" applyNumberFormat="1" applyFont="1" applyFill="1" applyBorder="1" applyAlignment="1" applyProtection="1"/>
    <xf numFmtId="0" fontId="40" fillId="0" borderId="10" xfId="0" applyNumberFormat="1" applyFont="1" applyFill="1" applyBorder="1" applyAlignment="1" applyProtection="1">
      <alignment horizontal="distributed" vertical="center"/>
    </xf>
    <xf numFmtId="0" fontId="42" fillId="0" borderId="49" xfId="0" applyNumberFormat="1" applyFont="1" applyFill="1" applyBorder="1" applyAlignment="1" applyProtection="1">
      <alignment vertical="center"/>
    </xf>
    <xf numFmtId="0" fontId="14" fillId="35" borderId="0" xfId="0" applyNumberFormat="1" applyFont="1" applyFill="1" applyBorder="1" applyAlignment="1" applyProtection="1">
      <alignment vertical="center"/>
    </xf>
    <xf numFmtId="0" fontId="14" fillId="35" borderId="0" xfId="120" applyNumberFormat="1" applyFont="1" applyFill="1" applyBorder="1" applyAlignment="1" applyProtection="1">
      <alignment vertical="center"/>
    </xf>
    <xf numFmtId="0" fontId="14" fillId="0" borderId="22" xfId="121" applyNumberFormat="1" applyFont="1" applyFill="1" applyBorder="1" applyAlignment="1" applyProtection="1">
      <alignment vertical="top"/>
    </xf>
    <xf numFmtId="0" fontId="14" fillId="0" borderId="49" xfId="121" applyNumberFormat="1" applyFont="1" applyFill="1" applyBorder="1" applyAlignment="1" applyProtection="1">
      <alignment vertical="top"/>
    </xf>
    <xf numFmtId="0" fontId="14" fillId="0" borderId="13" xfId="121" applyNumberFormat="1" applyFont="1" applyFill="1" applyBorder="1" applyAlignment="1" applyProtection="1">
      <alignment vertical="top"/>
    </xf>
    <xf numFmtId="0" fontId="14" fillId="0" borderId="15" xfId="121" applyNumberFormat="1" applyFont="1" applyFill="1" applyBorder="1" applyAlignment="1" applyProtection="1">
      <alignment vertical="top"/>
    </xf>
    <xf numFmtId="0" fontId="14" fillId="0" borderId="12" xfId="121" applyNumberFormat="1" applyFont="1" applyFill="1" applyBorder="1" applyAlignment="1" applyProtection="1">
      <alignment vertical="top"/>
    </xf>
    <xf numFmtId="0" fontId="14" fillId="0" borderId="14" xfId="121" applyNumberFormat="1" applyFont="1" applyFill="1" applyBorder="1" applyAlignment="1" applyProtection="1">
      <alignment vertical="top"/>
    </xf>
    <xf numFmtId="0" fontId="14" fillId="0" borderId="52" xfId="121" applyNumberFormat="1" applyFont="1" applyFill="1" applyBorder="1" applyAlignment="1" applyProtection="1">
      <alignment vertical="top"/>
    </xf>
    <xf numFmtId="0" fontId="47" fillId="0" borderId="10" xfId="121" applyNumberFormat="1" applyFont="1" applyFill="1" applyBorder="1" applyAlignment="1" applyProtection="1">
      <alignment vertical="top"/>
    </xf>
    <xf numFmtId="0" fontId="47" fillId="0" borderId="52" xfId="121" applyNumberFormat="1" applyFont="1" applyFill="1" applyBorder="1" applyAlignment="1" applyProtection="1">
      <alignment vertical="top"/>
    </xf>
    <xf numFmtId="0" fontId="47" fillId="0" borderId="14" xfId="121" applyNumberFormat="1" applyFont="1" applyFill="1" applyBorder="1" applyAlignment="1" applyProtection="1">
      <alignment vertical="top"/>
    </xf>
    <xf numFmtId="0" fontId="16" fillId="0" borderId="12" xfId="0" applyNumberFormat="1" applyFont="1" applyFill="1" applyBorder="1" applyAlignment="1" applyProtection="1">
      <alignment vertical="center"/>
    </xf>
    <xf numFmtId="0" fontId="47" fillId="0" borderId="15" xfId="121" applyNumberFormat="1" applyFont="1" applyFill="1" applyBorder="1" applyAlignment="1" applyProtection="1">
      <alignment vertical="top"/>
    </xf>
    <xf numFmtId="0" fontId="47" fillId="0" borderId="12" xfId="121" applyNumberFormat="1" applyFont="1" applyFill="1" applyBorder="1" applyAlignment="1" applyProtection="1">
      <alignment vertical="top"/>
    </xf>
    <xf numFmtId="0" fontId="14" fillId="33" borderId="52" xfId="120" applyNumberFormat="1" applyFont="1" applyFill="1" applyBorder="1" applyAlignment="1" applyProtection="1">
      <alignment vertical="center"/>
    </xf>
    <xf numFmtId="0" fontId="14" fillId="33" borderId="14" xfId="120" applyNumberFormat="1" applyFont="1" applyFill="1" applyBorder="1" applyAlignment="1" applyProtection="1">
      <alignment vertical="center"/>
    </xf>
    <xf numFmtId="0" fontId="14" fillId="33" borderId="0" xfId="120" applyNumberFormat="1" applyFont="1" applyFill="1" applyBorder="1" applyAlignment="1" applyProtection="1">
      <alignment vertical="center"/>
    </xf>
    <xf numFmtId="0" fontId="14" fillId="33" borderId="15" xfId="120" applyNumberFormat="1" applyFont="1" applyFill="1" applyBorder="1" applyAlignment="1" applyProtection="1">
      <alignment vertical="center"/>
    </xf>
    <xf numFmtId="0" fontId="14" fillId="33" borderId="22" xfId="120" applyNumberFormat="1" applyFont="1" applyFill="1" applyBorder="1" applyAlignment="1" applyProtection="1">
      <alignment vertical="center"/>
    </xf>
    <xf numFmtId="0" fontId="14" fillId="33" borderId="49" xfId="120" applyNumberFormat="1" applyFont="1" applyFill="1" applyBorder="1" applyAlignment="1" applyProtection="1">
      <alignment vertical="center"/>
    </xf>
    <xf numFmtId="0" fontId="14" fillId="35" borderId="0" xfId="121" applyNumberFormat="1" applyFont="1" applyFill="1" applyBorder="1" applyAlignment="1" applyProtection="1">
      <alignment vertical="center"/>
    </xf>
    <xf numFmtId="0" fontId="5" fillId="0" borderId="0" xfId="121" applyNumberFormat="1" applyFont="1" applyFill="1" applyBorder="1" applyAlignment="1" applyProtection="1">
      <alignment vertical="center"/>
    </xf>
    <xf numFmtId="0" fontId="12" fillId="26" borderId="0" xfId="0" applyNumberFormat="1" applyFont="1" applyFill="1" applyBorder="1" applyAlignment="1" applyProtection="1">
      <alignment horizontal="center" vertical="center"/>
      <protection locked="0" hidden="1"/>
    </xf>
    <xf numFmtId="0" fontId="12" fillId="26" borderId="49" xfId="0" applyNumberFormat="1" applyFont="1" applyFill="1" applyBorder="1" applyAlignment="1" applyProtection="1">
      <alignment horizontal="center" vertical="center"/>
      <protection locked="0" hidden="1"/>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190" fontId="12" fillId="27" borderId="0" xfId="0" applyNumberFormat="1" applyFont="1" applyFill="1" applyBorder="1" applyAlignment="1" applyProtection="1">
      <alignment horizontal="center" vertical="center" shrinkToFit="1"/>
      <protection locked="0"/>
    </xf>
    <xf numFmtId="191" fontId="12" fillId="27" borderId="0" xfId="0" applyNumberFormat="1" applyFont="1" applyFill="1" applyBorder="1" applyAlignment="1" applyProtection="1">
      <alignment horizontal="center" vertical="center" shrinkToFit="1"/>
      <protection locked="0"/>
    </xf>
    <xf numFmtId="190" fontId="12" fillId="27" borderId="0" xfId="0" applyNumberFormat="1" applyFont="1" applyFill="1" applyBorder="1" applyAlignment="1" applyProtection="1">
      <alignment horizontal="center" vertical="center" shrinkToFit="1"/>
      <protection locked="0" hidden="1"/>
    </xf>
    <xf numFmtId="191" fontId="12" fillId="27" borderId="0" xfId="0" applyNumberFormat="1" applyFont="1" applyFill="1" applyBorder="1" applyAlignment="1" applyProtection="1">
      <alignment horizontal="center" vertical="center" shrinkToFit="1"/>
      <protection locked="0" hidden="1"/>
    </xf>
    <xf numFmtId="190" fontId="12" fillId="27" borderId="49" xfId="0" applyNumberFormat="1" applyFont="1" applyFill="1" applyBorder="1" applyAlignment="1" applyProtection="1">
      <alignment horizontal="center" vertical="center" shrinkToFit="1"/>
      <protection locked="0" hidden="1"/>
    </xf>
    <xf numFmtId="191" fontId="12" fillId="27" borderId="49" xfId="0" applyNumberFormat="1" applyFont="1" applyFill="1" applyBorder="1" applyAlignment="1" applyProtection="1">
      <alignment horizontal="center" vertical="center" shrinkToFit="1"/>
      <protection locked="0" hidden="1"/>
    </xf>
    <xf numFmtId="0" fontId="11" fillId="0" borderId="11" xfId="0" applyNumberFormat="1" applyFont="1" applyFill="1" applyBorder="1" applyAlignment="1" applyProtection="1">
      <alignment horizontal="center" vertical="center"/>
    </xf>
    <xf numFmtId="49" fontId="11" fillId="0" borderId="11"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vertical="center"/>
    </xf>
    <xf numFmtId="190" fontId="10" fillId="33" borderId="0" xfId="0" applyNumberFormat="1" applyFont="1" applyFill="1" applyBorder="1" applyAlignment="1" applyProtection="1">
      <alignment horizontal="center" vertical="center" shrinkToFit="1"/>
      <protection locked="0" hidden="1"/>
    </xf>
    <xf numFmtId="191" fontId="10" fillId="33" borderId="0" xfId="0" applyNumberFormat="1" applyFont="1" applyFill="1" applyBorder="1" applyAlignment="1" applyProtection="1">
      <alignment horizontal="center" vertical="center" shrinkToFit="1"/>
      <protection locked="0" hidden="1"/>
    </xf>
    <xf numFmtId="0" fontId="8" fillId="0" borderId="0" xfId="122" applyNumberFormat="1" applyFont="1" applyFill="1" applyBorder="1" applyAlignment="1" applyProtection="1">
      <alignment vertical="center"/>
    </xf>
    <xf numFmtId="0" fontId="7" fillId="0" borderId="0" xfId="122" applyNumberFormat="1" applyFont="1" applyFill="1" applyBorder="1" applyAlignment="1" applyProtection="1">
      <alignment horizontal="center" vertical="center"/>
    </xf>
    <xf numFmtId="0" fontId="49" fillId="0" borderId="0" xfId="122" applyNumberFormat="1" applyFont="1" applyFill="1" applyBorder="1" applyAlignment="1" applyProtection="1">
      <alignment horizontal="center" vertical="center"/>
    </xf>
    <xf numFmtId="0" fontId="50" fillId="0" borderId="0" xfId="122" applyNumberFormat="1" applyFont="1" applyFill="1" applyBorder="1" applyAlignment="1" applyProtection="1">
      <alignment vertical="center"/>
    </xf>
    <xf numFmtId="0" fontId="12" fillId="0" borderId="0" xfId="122" applyNumberFormat="1" applyFont="1" applyFill="1" applyBorder="1" applyAlignment="1" applyProtection="1">
      <alignment vertical="center"/>
    </xf>
    <xf numFmtId="0" fontId="50" fillId="0" borderId="0" xfId="122" applyNumberFormat="1" applyFont="1" applyFill="1" applyBorder="1" applyAlignment="1" applyProtection="1">
      <alignment horizontal="left" vertical="center"/>
    </xf>
    <xf numFmtId="0" fontId="7" fillId="0" borderId="0" xfId="122" applyNumberFormat="1" applyFont="1" applyFill="1" applyBorder="1" applyAlignment="1" applyProtection="1">
      <alignment horizontal="left" vertical="center"/>
    </xf>
    <xf numFmtId="0" fontId="7" fillId="0" borderId="0" xfId="122" applyNumberFormat="1" applyFont="1" applyFill="1" applyBorder="1" applyAlignment="1" applyProtection="1">
      <alignment vertical="center"/>
    </xf>
    <xf numFmtId="0" fontId="50" fillId="35" borderId="0" xfId="122" applyNumberFormat="1" applyFont="1" applyFill="1" applyBorder="1" applyAlignment="1" applyProtection="1">
      <alignment horizontal="left" vertical="center"/>
    </xf>
    <xf numFmtId="0" fontId="7" fillId="35" borderId="0" xfId="122" applyNumberFormat="1" applyFont="1" applyFill="1" applyBorder="1" applyAlignment="1" applyProtection="1">
      <alignment horizontal="center" vertical="center"/>
    </xf>
    <xf numFmtId="0" fontId="49" fillId="35" borderId="0" xfId="122" applyNumberFormat="1" applyFont="1" applyFill="1" applyBorder="1" applyAlignment="1" applyProtection="1">
      <alignment horizontal="center" vertical="center"/>
    </xf>
    <xf numFmtId="0" fontId="0" fillId="38" borderId="11" xfId="0" applyNumberFormat="1" applyFont="1" applyFill="1" applyBorder="1" applyAlignment="1" applyProtection="1">
      <alignment horizontal="center" vertical="center"/>
    </xf>
    <xf numFmtId="180" fontId="14" fillId="0" borderId="0" xfId="0" applyNumberFormat="1" applyFont="1" applyFill="1" applyBorder="1" applyAlignment="1" applyProtection="1">
      <alignment horizontal="center" vertical="center"/>
    </xf>
    <xf numFmtId="192" fontId="14" fillId="33" borderId="0" xfId="0" applyNumberFormat="1" applyFont="1" applyFill="1" applyBorder="1" applyAlignment="1" applyProtection="1">
      <alignment horizontal="right" vertical="center"/>
    </xf>
    <xf numFmtId="0" fontId="14" fillId="35" borderId="0" xfId="0" applyNumberFormat="1" applyFont="1" applyFill="1" applyBorder="1" applyAlignment="1" applyProtection="1">
      <alignment horizontal="right" vertical="center"/>
    </xf>
    <xf numFmtId="189" fontId="12" fillId="0" borderId="0" xfId="122" applyNumberFormat="1" applyFont="1" applyFill="1" applyBorder="1" applyAlignment="1" applyProtection="1">
      <alignment vertical="center"/>
    </xf>
    <xf numFmtId="185" fontId="14" fillId="0" borderId="21" xfId="120" applyNumberFormat="1" applyFont="1" applyFill="1" applyBorder="1" applyAlignment="1" applyProtection="1">
      <alignment vertical="center" shrinkToFit="1"/>
    </xf>
    <xf numFmtId="185" fontId="14" fillId="0" borderId="50" xfId="120" applyNumberFormat="1" applyFont="1" applyFill="1" applyBorder="1" applyAlignment="1" applyProtection="1">
      <alignment vertical="center" shrinkToFit="1"/>
    </xf>
    <xf numFmtId="190" fontId="14" fillId="35" borderId="50" xfId="120" applyNumberFormat="1" applyFont="1" applyFill="1" applyBorder="1" applyAlignment="1" applyProtection="1">
      <alignment vertical="center" shrinkToFit="1"/>
    </xf>
    <xf numFmtId="191" fontId="14" fillId="35" borderId="50" xfId="120" applyNumberFormat="1" applyFont="1" applyFill="1" applyBorder="1" applyAlignment="1" applyProtection="1">
      <alignment vertical="center" shrinkToFit="1"/>
    </xf>
    <xf numFmtId="0" fontId="14" fillId="0" borderId="0" xfId="121" applyNumberFormat="1" applyFont="1" applyFill="1" applyBorder="1" applyAlignment="1" applyProtection="1">
      <alignment horizontal="right" vertical="top"/>
    </xf>
    <xf numFmtId="0" fontId="47" fillId="0" borderId="0" xfId="121" applyNumberFormat="1" applyFont="1" applyFill="1" applyBorder="1" applyAlignment="1" applyProtection="1">
      <alignment vertical="top"/>
    </xf>
    <xf numFmtId="0" fontId="6" fillId="0" borderId="52" xfId="121" applyNumberFormat="1" applyFont="1" applyFill="1" applyBorder="1" applyAlignment="1" applyProtection="1">
      <alignment vertical="center"/>
    </xf>
    <xf numFmtId="0" fontId="6" fillId="0" borderId="49" xfId="121" applyNumberFormat="1" applyFont="1" applyFill="1" applyBorder="1" applyAlignment="1" applyProtection="1">
      <alignment vertical="center"/>
    </xf>
    <xf numFmtId="0" fontId="6" fillId="0" borderId="0" xfId="121" applyNumberFormat="1" applyFont="1" applyFill="1" applyBorder="1" applyAlignment="1" applyProtection="1">
      <alignment horizontal="left" vertical="center"/>
    </xf>
    <xf numFmtId="0" fontId="53" fillId="0" borderId="0" xfId="121" applyNumberFormat="1" applyFont="1" applyFill="1" applyBorder="1" applyAlignment="1" applyProtection="1">
      <alignment vertical="center"/>
    </xf>
    <xf numFmtId="0" fontId="53" fillId="33" borderId="0" xfId="121" applyNumberFormat="1" applyFont="1" applyFill="1" applyBorder="1" applyAlignment="1" applyProtection="1">
      <alignment horizontal="right" vertical="center"/>
    </xf>
    <xf numFmtId="0" fontId="51" fillId="33" borderId="0" xfId="122" applyNumberFormat="1" applyFont="1" applyFill="1" applyBorder="1" applyAlignment="1" applyProtection="1">
      <alignment horizontal="right" vertical="center" shrinkToFit="1"/>
      <protection locked="0" hidden="1"/>
    </xf>
    <xf numFmtId="185" fontId="14" fillId="0" borderId="0" xfId="121" applyNumberFormat="1" applyFont="1" applyFill="1" applyBorder="1" applyAlignment="1" applyProtection="1">
      <alignment vertical="center"/>
    </xf>
    <xf numFmtId="188" fontId="14" fillId="0" borderId="10" xfId="121" applyNumberFormat="1" applyFont="1" applyFill="1" applyBorder="1" applyAlignment="1" applyProtection="1">
      <alignment vertical="center" wrapText="1"/>
    </xf>
    <xf numFmtId="188" fontId="14" fillId="0" borderId="52" xfId="121" applyNumberFormat="1" applyFont="1" applyFill="1" applyBorder="1" applyAlignment="1" applyProtection="1">
      <alignment vertical="center" wrapText="1"/>
    </xf>
    <xf numFmtId="188" fontId="14" fillId="0" borderId="14" xfId="121" applyNumberFormat="1" applyFont="1" applyFill="1" applyBorder="1" applyAlignment="1" applyProtection="1">
      <alignment vertical="center" wrapText="1"/>
    </xf>
    <xf numFmtId="188" fontId="14" fillId="0" borderId="13" xfId="121" applyNumberFormat="1" applyFont="1" applyFill="1" applyBorder="1" applyAlignment="1" applyProtection="1">
      <alignment vertical="center" wrapText="1"/>
    </xf>
    <xf numFmtId="188" fontId="14" fillId="0" borderId="49" xfId="121" applyNumberFormat="1" applyFont="1" applyFill="1" applyBorder="1" applyAlignment="1" applyProtection="1">
      <alignment vertical="center" wrapText="1"/>
    </xf>
    <xf numFmtId="188" fontId="14" fillId="0" borderId="22" xfId="121" applyNumberFormat="1" applyFont="1" applyFill="1" applyBorder="1" applyAlignment="1" applyProtection="1">
      <alignment vertical="center" wrapText="1"/>
    </xf>
    <xf numFmtId="185" fontId="14" fillId="0" borderId="50" xfId="121" applyNumberFormat="1" applyFont="1" applyFill="1" applyBorder="1" applyAlignment="1" applyProtection="1">
      <alignment vertical="center" shrinkToFit="1"/>
    </xf>
    <xf numFmtId="185" fontId="14" fillId="0" borderId="32" xfId="121" applyNumberFormat="1" applyFont="1" applyFill="1" applyBorder="1" applyAlignment="1" applyProtection="1">
      <alignment vertical="center" shrinkToFit="1"/>
    </xf>
    <xf numFmtId="190" fontId="14" fillId="35" borderId="50" xfId="121" applyNumberFormat="1" applyFont="1" applyFill="1" applyBorder="1" applyAlignment="1" applyProtection="1">
      <alignment horizontal="right" vertical="center" shrinkToFit="1"/>
    </xf>
    <xf numFmtId="191" fontId="14" fillId="35" borderId="50" xfId="121" applyNumberFormat="1" applyFont="1" applyFill="1" applyBorder="1" applyAlignment="1" applyProtection="1">
      <alignment horizontal="right" vertical="center" shrinkToFit="1"/>
    </xf>
    <xf numFmtId="190" fontId="14" fillId="35" borderId="0" xfId="121" applyNumberFormat="1" applyFont="1" applyFill="1" applyBorder="1" applyAlignment="1" applyProtection="1">
      <alignment horizontal="right" vertical="center"/>
    </xf>
    <xf numFmtId="191" fontId="14" fillId="35" borderId="0" xfId="121" applyNumberFormat="1" applyFont="1" applyFill="1" applyBorder="1" applyAlignment="1" applyProtection="1">
      <alignment horizontal="right" vertical="center"/>
    </xf>
    <xf numFmtId="0" fontId="14" fillId="33" borderId="0" xfId="121" applyNumberFormat="1" applyFont="1" applyFill="1" applyBorder="1" applyAlignment="1" applyProtection="1">
      <alignment horizontal="right" vertical="center"/>
    </xf>
    <xf numFmtId="185" fontId="14" fillId="0" borderId="50" xfId="0" applyNumberFormat="1" applyFont="1" applyFill="1" applyBorder="1" applyAlignment="1" applyProtection="1">
      <alignment vertical="center"/>
    </xf>
    <xf numFmtId="191" fontId="14" fillId="35" borderId="50" xfId="0" applyNumberFormat="1" applyFont="1" applyFill="1" applyBorder="1" applyAlignment="1" applyProtection="1">
      <alignment vertical="center"/>
    </xf>
    <xf numFmtId="190" fontId="14" fillId="35" borderId="50" xfId="0" applyNumberFormat="1" applyFont="1" applyFill="1" applyBorder="1" applyAlignment="1" applyProtection="1">
      <alignment vertical="center"/>
    </xf>
    <xf numFmtId="0" fontId="6" fillId="33" borderId="0" xfId="0" applyNumberFormat="1" applyFont="1" applyFill="1" applyBorder="1" applyAlignment="1" applyProtection="1">
      <alignment vertical="center"/>
    </xf>
    <xf numFmtId="0" fontId="42" fillId="0" borderId="14" xfId="0" applyNumberFormat="1" applyFont="1" applyFill="1" applyBorder="1" applyAlignment="1" applyProtection="1">
      <alignment vertical="center"/>
    </xf>
    <xf numFmtId="0" fontId="42" fillId="0" borderId="15" xfId="0" applyNumberFormat="1" applyFont="1" applyFill="1" applyBorder="1" applyAlignment="1" applyProtection="1">
      <alignment vertical="center"/>
    </xf>
    <xf numFmtId="0" fontId="42" fillId="0" borderId="22" xfId="0" applyNumberFormat="1" applyFont="1" applyFill="1" applyBorder="1" applyAlignment="1" applyProtection="1">
      <alignment vertical="center"/>
    </xf>
    <xf numFmtId="0" fontId="8" fillId="0" borderId="10" xfId="0" applyNumberFormat="1" applyFont="1" applyFill="1" applyBorder="1" applyAlignment="1" applyProtection="1">
      <alignment vertical="center"/>
    </xf>
    <xf numFmtId="0" fontId="8" fillId="0" borderId="52" xfId="0" applyNumberFormat="1" applyFont="1" applyFill="1" applyBorder="1" applyAlignment="1" applyProtection="1">
      <alignment vertical="center"/>
    </xf>
    <xf numFmtId="0" fontId="8" fillId="0" borderId="14" xfId="0"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5" xfId="0" applyNumberFormat="1" applyFont="1" applyFill="1" applyBorder="1" applyAlignment="1" applyProtection="1">
      <alignment vertical="center"/>
    </xf>
    <xf numFmtId="0" fontId="11" fillId="33" borderId="0" xfId="50" applyNumberFormat="1" applyFont="1" applyFill="1" applyBorder="1" applyAlignment="1" applyProtection="1">
      <alignment vertical="center"/>
    </xf>
    <xf numFmtId="0" fontId="8" fillId="0" borderId="13" xfId="0" applyNumberFormat="1" applyFont="1" applyFill="1" applyBorder="1" applyAlignment="1" applyProtection="1">
      <alignment vertical="center"/>
    </xf>
    <xf numFmtId="0" fontId="8" fillId="0" borderId="49" xfId="0" applyNumberFormat="1" applyFont="1" applyFill="1" applyBorder="1" applyAlignment="1" applyProtection="1">
      <alignment vertical="center"/>
    </xf>
    <xf numFmtId="0" fontId="8" fillId="0" borderId="22" xfId="0" applyNumberFormat="1" applyFont="1" applyFill="1" applyBorder="1" applyAlignment="1" applyProtection="1">
      <alignment vertical="center"/>
    </xf>
    <xf numFmtId="0" fontId="14" fillId="36" borderId="0" xfId="50" applyNumberFormat="1" applyFont="1" applyFill="1" applyBorder="1" applyAlignment="1" applyProtection="1">
      <alignment horizontal="right" vertical="center"/>
    </xf>
    <xf numFmtId="0" fontId="11" fillId="0" borderId="0" xfId="50" applyNumberFormat="1" applyFont="1" applyFill="1" applyBorder="1" applyAlignment="1" applyProtection="1">
      <alignment horizontal="left" vertical="center"/>
    </xf>
    <xf numFmtId="0" fontId="14" fillId="0" borderId="50" xfId="121" applyNumberFormat="1" applyFont="1" applyFill="1" applyBorder="1" applyAlignment="1" applyProtection="1">
      <alignment vertical="center" shrinkToFit="1"/>
    </xf>
    <xf numFmtId="0" fontId="14" fillId="33" borderId="50" xfId="121" applyNumberFormat="1" applyFont="1" applyFill="1" applyBorder="1" applyAlignment="1" applyProtection="1">
      <alignment horizontal="right" vertical="center" shrinkToFit="1"/>
    </xf>
    <xf numFmtId="0" fontId="56" fillId="0" borderId="0" xfId="121" applyNumberFormat="1" applyFont="1" applyFill="1" applyBorder="1" applyAlignment="1" applyProtection="1">
      <alignment vertical="center" wrapText="1"/>
    </xf>
    <xf numFmtId="0" fontId="8" fillId="0" borderId="0" xfId="122" applyNumberFormat="1" applyFont="1" applyFill="1" applyBorder="1" applyAlignment="1" applyProtection="1">
      <alignment horizontal="left" vertical="center"/>
    </xf>
    <xf numFmtId="0" fontId="6" fillId="39" borderId="0" xfId="0" applyNumberFormat="1" applyFont="1" applyFill="1" applyBorder="1" applyAlignment="1" applyProtection="1">
      <alignment vertical="center"/>
    </xf>
    <xf numFmtId="0" fontId="4" fillId="33" borderId="0" xfId="0" applyNumberFormat="1" applyFont="1" applyFill="1" applyBorder="1" applyAlignment="1" applyProtection="1">
      <alignment vertical="center"/>
    </xf>
    <xf numFmtId="182" fontId="4" fillId="33" borderId="0" xfId="0" applyNumberFormat="1" applyFont="1" applyFill="1" applyBorder="1" applyAlignment="1" applyProtection="1">
      <alignment vertical="center"/>
    </xf>
    <xf numFmtId="0" fontId="4" fillId="31" borderId="12" xfId="0" applyNumberFormat="1" applyFont="1" applyFill="1" applyBorder="1" applyAlignment="1" applyProtection="1">
      <alignment vertical="center" wrapText="1"/>
    </xf>
    <xf numFmtId="0" fontId="4" fillId="31" borderId="47" xfId="0" applyNumberFormat="1" applyFont="1" applyFill="1" applyBorder="1" applyAlignment="1" applyProtection="1">
      <alignment vertical="center" wrapText="1"/>
    </xf>
    <xf numFmtId="0" fontId="4" fillId="31" borderId="27" xfId="0" applyNumberFormat="1" applyFont="1" applyFill="1" applyBorder="1" applyAlignment="1" applyProtection="1">
      <alignment vertical="center" wrapText="1"/>
    </xf>
    <xf numFmtId="0" fontId="4" fillId="31" borderId="0" xfId="0" applyNumberFormat="1" applyFont="1" applyFill="1" applyBorder="1" applyAlignment="1" applyProtection="1">
      <alignment horizontal="left" vertical="center" wrapText="1"/>
    </xf>
    <xf numFmtId="0" fontId="49" fillId="0" borderId="0" xfId="122" applyNumberFormat="1" applyFont="1" applyFill="1" applyBorder="1" applyAlignment="1" applyProtection="1">
      <alignment vertical="center"/>
    </xf>
    <xf numFmtId="0" fontId="12" fillId="27" borderId="0" xfId="0" applyNumberFormat="1" applyFont="1" applyFill="1" applyBorder="1" applyAlignment="1" applyProtection="1">
      <alignment vertical="center" shrinkToFit="1"/>
      <protection locked="0" hidden="1"/>
    </xf>
    <xf numFmtId="0" fontId="0" fillId="0" borderId="0" xfId="0">
      <alignment vertical="center"/>
    </xf>
    <xf numFmtId="0" fontId="59"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4" fillId="24" borderId="16" xfId="0" applyNumberFormat="1" applyFont="1" applyFill="1" applyBorder="1" applyAlignment="1" applyProtection="1">
      <alignment horizontal="left" vertical="center" wrapText="1"/>
    </xf>
    <xf numFmtId="0" fontId="4" fillId="24" borderId="17" xfId="0" applyNumberFormat="1" applyFont="1" applyFill="1" applyBorder="1" applyAlignment="1" applyProtection="1">
      <alignment horizontal="left" vertical="center" wrapText="1"/>
    </xf>
    <xf numFmtId="0" fontId="14" fillId="0" borderId="11"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justify" vertical="center" wrapText="1"/>
    </xf>
    <xf numFmtId="0" fontId="11" fillId="35" borderId="0" xfId="0" applyNumberFormat="1" applyFont="1" applyFill="1" applyBorder="1" applyAlignment="1" applyProtection="1">
      <alignment horizontal="left" vertical="top"/>
    </xf>
    <xf numFmtId="0" fontId="37" fillId="0" borderId="0" xfId="0" applyNumberFormat="1" applyFont="1" applyFill="1" applyBorder="1" applyAlignment="1" applyProtection="1">
      <alignment horizontal="center" vertical="center"/>
    </xf>
    <xf numFmtId="0" fontId="11" fillId="35" borderId="0" xfId="0" applyNumberFormat="1" applyFont="1" applyFill="1" applyBorder="1" applyAlignment="1" applyProtection="1">
      <alignment horizontal="left" vertical="center"/>
    </xf>
    <xf numFmtId="0" fontId="11" fillId="40" borderId="60" xfId="0" applyNumberFormat="1" applyFont="1" applyFill="1" applyBorder="1" applyAlignment="1" applyProtection="1">
      <alignment horizontal="center" vertical="center"/>
    </xf>
    <xf numFmtId="0" fontId="11" fillId="40" borderId="61" xfId="0" applyNumberFormat="1" applyFont="1" applyFill="1" applyBorder="1" applyAlignment="1" applyProtection="1">
      <alignment horizontal="center" vertical="center"/>
    </xf>
    <xf numFmtId="0" fontId="11" fillId="40" borderId="62" xfId="0" applyNumberFormat="1" applyFont="1" applyFill="1" applyBorder="1" applyAlignment="1" applyProtection="1">
      <alignment horizontal="center" vertical="center"/>
    </xf>
    <xf numFmtId="0" fontId="11" fillId="40" borderId="63" xfId="0" applyNumberFormat="1" applyFont="1" applyFill="1" applyBorder="1" applyAlignment="1" applyProtection="1">
      <alignment horizontal="center" vertical="center"/>
    </xf>
    <xf numFmtId="0" fontId="11" fillId="40" borderId="64" xfId="0" applyNumberFormat="1" applyFont="1" applyFill="1" applyBorder="1" applyAlignment="1" applyProtection="1">
      <alignment horizontal="center" vertical="center"/>
    </xf>
    <xf numFmtId="0" fontId="11" fillId="40" borderId="65" xfId="0" applyNumberFormat="1" applyFont="1" applyFill="1" applyBorder="1" applyAlignment="1" applyProtection="1">
      <alignment horizontal="center" vertical="center"/>
    </xf>
    <xf numFmtId="0" fontId="11" fillId="35" borderId="0"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center" vertical="center"/>
    </xf>
    <xf numFmtId="0" fontId="11" fillId="33" borderId="0" xfId="0" applyNumberFormat="1" applyFont="1" applyFill="1" applyBorder="1" applyAlignment="1" applyProtection="1">
      <alignment horizontal="left" vertical="center"/>
    </xf>
    <xf numFmtId="0" fontId="11" fillId="35" borderId="0" xfId="0" applyNumberFormat="1" applyFont="1" applyFill="1" applyBorder="1" applyAlignment="1" applyProtection="1">
      <alignment horizontal="left" vertical="center" shrinkToFit="1"/>
    </xf>
    <xf numFmtId="192" fontId="14" fillId="33" borderId="0" xfId="0" applyNumberFormat="1" applyFont="1" applyFill="1" applyBorder="1" applyAlignment="1" applyProtection="1">
      <alignment horizontal="right" vertical="center"/>
    </xf>
    <xf numFmtId="0" fontId="11" fillId="33" borderId="0" xfId="50" applyNumberFormat="1" applyFont="1" applyFill="1" applyBorder="1" applyAlignment="1" applyProtection="1">
      <alignment horizontal="left" vertical="top"/>
    </xf>
    <xf numFmtId="0" fontId="58" fillId="0" borderId="49" xfId="0" applyNumberFormat="1" applyFont="1" applyFill="1" applyBorder="1" applyAlignment="1" applyProtection="1">
      <alignment horizontal="center" vertical="center"/>
    </xf>
    <xf numFmtId="0" fontId="11" fillId="33" borderId="0" xfId="50" applyNumberFormat="1" applyFont="1" applyFill="1" applyBorder="1" applyAlignment="1" applyProtection="1">
      <alignment horizontal="center" vertical="center"/>
    </xf>
    <xf numFmtId="0" fontId="11" fillId="33" borderId="0" xfId="50" applyNumberFormat="1" applyFont="1" applyFill="1" applyBorder="1" applyAlignment="1" applyProtection="1">
      <alignment horizontal="right" vertical="center"/>
    </xf>
    <xf numFmtId="0" fontId="0" fillId="0" borderId="0" xfId="0" applyNumberFormat="1" applyFont="1" applyFill="1" applyBorder="1" applyAlignment="1" applyProtection="1">
      <alignment horizontal="right" vertical="center"/>
    </xf>
    <xf numFmtId="193" fontId="12" fillId="33" borderId="0" xfId="0" applyNumberFormat="1" applyFont="1" applyFill="1" applyBorder="1" applyAlignment="1" applyProtection="1">
      <alignment horizontal="center" vertical="center"/>
    </xf>
    <xf numFmtId="49" fontId="11" fillId="0" borderId="11"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vertical="center"/>
    </xf>
    <xf numFmtId="0" fontId="11" fillId="0" borderId="21" xfId="0" applyNumberFormat="1" applyFont="1" applyFill="1" applyBorder="1" applyAlignment="1" applyProtection="1">
      <alignment horizontal="left" vertical="center"/>
    </xf>
    <xf numFmtId="0" fontId="11" fillId="0" borderId="50" xfId="0" applyNumberFormat="1" applyFont="1" applyFill="1" applyBorder="1" applyAlignment="1" applyProtection="1">
      <alignment horizontal="left" vertical="center"/>
    </xf>
    <xf numFmtId="0" fontId="11" fillId="0" borderId="32"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left" vertical="top"/>
    </xf>
    <xf numFmtId="0" fontId="11" fillId="0" borderId="32" xfId="0" applyNumberFormat="1" applyFont="1" applyFill="1" applyBorder="1" applyAlignment="1" applyProtection="1">
      <alignment vertical="center"/>
    </xf>
    <xf numFmtId="0" fontId="11" fillId="0" borderId="52"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wrapText="1"/>
    </xf>
    <xf numFmtId="0" fontId="11" fillId="0" borderId="49" xfId="0" applyNumberFormat="1" applyFont="1" applyFill="1" applyBorder="1" applyAlignment="1" applyProtection="1">
      <alignment horizontal="left" vertical="center" wrapText="1"/>
    </xf>
    <xf numFmtId="0" fontId="0" fillId="0" borderId="11" xfId="0" applyNumberFormat="1" applyFont="1" applyFill="1" applyBorder="1" applyAlignment="1" applyProtection="1">
      <alignment horizontal="left" vertical="top"/>
    </xf>
    <xf numFmtId="0" fontId="11" fillId="0" borderId="11" xfId="0" applyNumberFormat="1" applyFont="1" applyFill="1" applyBorder="1" applyAlignment="1" applyProtection="1">
      <alignment horizontal="left" vertical="center"/>
    </xf>
    <xf numFmtId="0" fontId="0" fillId="0" borderId="11"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vertical="center" wrapText="1"/>
    </xf>
    <xf numFmtId="0" fontId="11" fillId="0" borderId="11" xfId="0" applyNumberFormat="1" applyFont="1" applyFill="1" applyBorder="1" applyAlignment="1" applyProtection="1">
      <alignment vertical="top" wrapText="1"/>
    </xf>
    <xf numFmtId="0" fontId="11" fillId="0" borderId="11" xfId="0" applyNumberFormat="1" applyFont="1" applyFill="1" applyBorder="1" applyAlignment="1" applyProtection="1">
      <alignment vertical="top"/>
    </xf>
    <xf numFmtId="0" fontId="11" fillId="0" borderId="11" xfId="0" applyNumberFormat="1" applyFont="1" applyFill="1" applyBorder="1" applyAlignment="1" applyProtection="1">
      <alignment horizontal="left" vertical="top" wrapText="1"/>
    </xf>
    <xf numFmtId="0" fontId="0" fillId="0" borderId="11" xfId="0" applyNumberFormat="1" applyFont="1" applyFill="1" applyBorder="1" applyAlignment="1" applyProtection="1">
      <alignment horizontal="left" vertical="top" wrapText="1"/>
    </xf>
    <xf numFmtId="0" fontId="11" fillId="0" borderId="11" xfId="0" applyNumberFormat="1" applyFont="1" applyFill="1" applyBorder="1" applyAlignment="1" applyProtection="1">
      <alignment horizontal="left" vertical="center" wrapText="1"/>
    </xf>
    <xf numFmtId="49" fontId="11" fillId="0" borderId="11"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left" vertical="center"/>
    </xf>
    <xf numFmtId="0" fontId="12" fillId="0" borderId="11" xfId="0" applyNumberFormat="1" applyFont="1" applyFill="1" applyBorder="1" applyAlignment="1" applyProtection="1">
      <alignment horizontal="left" vertical="top" wrapText="1"/>
    </xf>
    <xf numFmtId="0" fontId="12" fillId="0" borderId="11" xfId="0" applyNumberFormat="1" applyFont="1" applyFill="1" applyBorder="1" applyAlignment="1" applyProtection="1">
      <alignment horizontal="center" vertical="top" wrapText="1"/>
    </xf>
    <xf numFmtId="0" fontId="12" fillId="27" borderId="0" xfId="0" applyNumberFormat="1" applyFont="1" applyFill="1" applyBorder="1" applyAlignment="1" applyProtection="1">
      <alignment vertical="center" shrinkToFit="1"/>
      <protection locked="0" hidden="1"/>
    </xf>
    <xf numFmtId="0" fontId="0" fillId="0" borderId="0" xfId="0" applyNumberFormat="1" applyFont="1" applyFill="1" applyBorder="1" applyAlignment="1" applyProtection="1">
      <alignment vertical="center" shrinkToFit="1"/>
      <protection locked="0" hidden="1"/>
    </xf>
    <xf numFmtId="0" fontId="1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2" fillId="27" borderId="49" xfId="0" applyNumberFormat="1" applyFont="1" applyFill="1" applyBorder="1" applyAlignment="1" applyProtection="1">
      <alignment horizontal="right" vertical="center" shrinkToFit="1"/>
      <protection locked="0"/>
    </xf>
    <xf numFmtId="0" fontId="0" fillId="27" borderId="49" xfId="0" applyNumberFormat="1" applyFont="1" applyFill="1" applyBorder="1" applyAlignment="1" applyProtection="1">
      <alignment horizontal="right" vertical="center" shrinkToFit="1"/>
      <protection locked="0"/>
    </xf>
    <xf numFmtId="0" fontId="12" fillId="27" borderId="0" xfId="0" applyNumberFormat="1" applyFont="1" applyFill="1" applyBorder="1" applyAlignment="1" applyProtection="1">
      <alignment vertical="center" wrapText="1" shrinkToFit="1"/>
      <protection locked="0" hidden="1"/>
    </xf>
    <xf numFmtId="0" fontId="11" fillId="27" borderId="0" xfId="0" applyNumberFormat="1" applyFont="1" applyFill="1" applyBorder="1" applyAlignment="1" applyProtection="1">
      <alignment vertical="center" shrinkToFit="1"/>
      <protection locked="0" hidden="1"/>
    </xf>
    <xf numFmtId="0" fontId="0" fillId="27" borderId="0" xfId="0" applyNumberFormat="1" applyFont="1" applyFill="1" applyBorder="1" applyAlignment="1" applyProtection="1">
      <alignment vertical="center" shrinkToFit="1"/>
      <protection locked="0" hidden="1"/>
    </xf>
    <xf numFmtId="0" fontId="12" fillId="27" borderId="49" xfId="0" applyNumberFormat="1" applyFont="1" applyFill="1" applyBorder="1" applyAlignment="1" applyProtection="1">
      <alignment vertical="center" shrinkToFit="1"/>
      <protection locked="0" hidden="1"/>
    </xf>
    <xf numFmtId="0" fontId="0" fillId="0" borderId="49" xfId="0" applyNumberFormat="1" applyFont="1" applyFill="1" applyBorder="1" applyAlignment="1" applyProtection="1">
      <alignment vertical="center" shrinkToFit="1"/>
      <protection locked="0" hidden="1"/>
    </xf>
    <xf numFmtId="0" fontId="12" fillId="25" borderId="0" xfId="0" applyNumberFormat="1" applyFont="1" applyFill="1" applyBorder="1" applyAlignment="1" applyProtection="1">
      <alignment vertical="center" shrinkToFit="1"/>
      <protection locked="0"/>
    </xf>
    <xf numFmtId="0" fontId="0" fillId="25" borderId="0" xfId="0" applyNumberFormat="1" applyFont="1" applyFill="1" applyBorder="1" applyAlignment="1" applyProtection="1">
      <alignment vertical="center" shrinkToFit="1"/>
      <protection locked="0"/>
    </xf>
    <xf numFmtId="0" fontId="12" fillId="27" borderId="0" xfId="0" applyNumberFormat="1" applyFont="1" applyFill="1" applyBorder="1" applyAlignment="1" applyProtection="1">
      <alignment horizontal="center" vertical="center" shrinkToFit="1"/>
      <protection locked="0"/>
    </xf>
    <xf numFmtId="0" fontId="0" fillId="27" borderId="0" xfId="0" applyNumberFormat="1" applyFont="1" applyFill="1" applyBorder="1" applyAlignment="1" applyProtection="1">
      <alignment horizontal="center" vertical="center" shrinkToFit="1"/>
      <protection locked="0"/>
    </xf>
    <xf numFmtId="0" fontId="12" fillId="27" borderId="49" xfId="0" applyNumberFormat="1" applyFont="1" applyFill="1" applyBorder="1" applyAlignment="1" applyProtection="1">
      <alignment vertical="center"/>
      <protection locked="0"/>
    </xf>
    <xf numFmtId="0" fontId="0" fillId="27" borderId="49" xfId="0" applyNumberFormat="1" applyFont="1" applyFill="1" applyBorder="1" applyAlignment="1" applyProtection="1">
      <alignment vertical="center"/>
    </xf>
    <xf numFmtId="0" fontId="12" fillId="26" borderId="49" xfId="0" applyNumberFormat="1" applyFont="1" applyFill="1" applyBorder="1" applyAlignment="1" applyProtection="1">
      <alignment horizontal="center" vertical="center"/>
      <protection locked="0" hidden="1"/>
    </xf>
    <xf numFmtId="0" fontId="0" fillId="26" borderId="49" xfId="0" applyNumberFormat="1" applyFont="1" applyFill="1" applyBorder="1" applyAlignment="1" applyProtection="1">
      <alignment horizontal="center" vertical="center"/>
      <protection locked="0" hidden="1"/>
    </xf>
    <xf numFmtId="0" fontId="12" fillId="25" borderId="49" xfId="0" applyNumberFormat="1" applyFont="1" applyFill="1" applyBorder="1" applyAlignment="1" applyProtection="1">
      <alignment vertical="center" shrinkToFit="1"/>
      <protection locked="0"/>
    </xf>
    <xf numFmtId="0" fontId="0" fillId="25" borderId="49" xfId="0" applyNumberFormat="1" applyFont="1" applyFill="1" applyBorder="1" applyAlignment="1" applyProtection="1">
      <alignment vertical="center" shrinkToFit="1"/>
      <protection locked="0"/>
    </xf>
    <xf numFmtId="0" fontId="12" fillId="0" borderId="49" xfId="0" applyNumberFormat="1" applyFont="1" applyFill="1" applyBorder="1" applyAlignment="1" applyProtection="1">
      <alignment horizontal="center" vertical="center"/>
    </xf>
    <xf numFmtId="0" fontId="12" fillId="27" borderId="0" xfId="0" applyNumberFormat="1" applyFont="1" applyFill="1" applyBorder="1" applyAlignment="1" applyProtection="1">
      <alignment vertical="center" wrapText="1"/>
      <protection locked="0" hidden="1"/>
    </xf>
    <xf numFmtId="0" fontId="11" fillId="27" borderId="0" xfId="0" applyNumberFormat="1" applyFont="1" applyFill="1" applyBorder="1" applyAlignment="1" applyProtection="1">
      <alignment vertical="center" wrapText="1"/>
      <protection locked="0" hidden="1"/>
    </xf>
    <xf numFmtId="0" fontId="12" fillId="26" borderId="52" xfId="0" applyNumberFormat="1" applyFont="1" applyFill="1" applyBorder="1" applyAlignment="1" applyProtection="1">
      <alignment horizontal="center" vertical="center"/>
      <protection locked="0" hidden="1"/>
    </xf>
    <xf numFmtId="0" fontId="0" fillId="26" borderId="52" xfId="0" applyNumberFormat="1" applyFont="1" applyFill="1" applyBorder="1" applyAlignment="1" applyProtection="1">
      <alignment horizontal="center" vertical="center"/>
      <protection locked="0" hidden="1"/>
    </xf>
    <xf numFmtId="0" fontId="12" fillId="25" borderId="52" xfId="0" applyNumberFormat="1" applyFont="1" applyFill="1" applyBorder="1" applyAlignment="1" applyProtection="1">
      <alignment vertical="center" shrinkToFit="1"/>
      <protection locked="0"/>
    </xf>
    <xf numFmtId="0" fontId="0" fillId="25" borderId="52" xfId="0" applyNumberFormat="1" applyFont="1" applyFill="1" applyBorder="1" applyAlignment="1" applyProtection="1">
      <alignment vertical="center" shrinkToFit="1"/>
      <protection locked="0"/>
    </xf>
    <xf numFmtId="0" fontId="12" fillId="26" borderId="0" xfId="0" applyNumberFormat="1" applyFont="1" applyFill="1" applyBorder="1" applyAlignment="1" applyProtection="1">
      <alignment horizontal="center" vertical="center"/>
      <protection locked="0" hidden="1"/>
    </xf>
    <xf numFmtId="0" fontId="0" fillId="26" borderId="0" xfId="0" applyNumberFormat="1" applyFont="1" applyFill="1" applyBorder="1" applyAlignment="1" applyProtection="1">
      <alignment horizontal="center" vertical="center"/>
      <protection locked="0" hidden="1"/>
    </xf>
    <xf numFmtId="193" fontId="12" fillId="27" borderId="0" xfId="0" applyNumberFormat="1" applyFont="1" applyFill="1" applyBorder="1" applyAlignment="1" applyProtection="1">
      <alignment horizontal="right" vertical="center" shrinkToFit="1"/>
      <protection locked="0"/>
    </xf>
    <xf numFmtId="193" fontId="12" fillId="27" borderId="0" xfId="0" applyNumberFormat="1" applyFont="1" applyFill="1" applyBorder="1" applyAlignment="1" applyProtection="1">
      <alignment horizontal="center" vertical="center" shrinkToFit="1"/>
      <protection locked="0" hidden="1"/>
    </xf>
    <xf numFmtId="193" fontId="12" fillId="27" borderId="49" xfId="0" applyNumberFormat="1" applyFont="1" applyFill="1" applyBorder="1" applyAlignment="1" applyProtection="1">
      <alignment horizontal="center" vertical="center" shrinkToFit="1"/>
      <protection locked="0" hidden="1"/>
    </xf>
    <xf numFmtId="0" fontId="12" fillId="25" borderId="0" xfId="0" applyNumberFormat="1" applyFont="1" applyFill="1" applyBorder="1" applyAlignment="1" applyProtection="1">
      <alignment horizontal="right" vertical="center"/>
      <protection locked="0"/>
    </xf>
    <xf numFmtId="0" fontId="0" fillId="25" borderId="0" xfId="0" applyNumberFormat="1" applyFont="1" applyFill="1" applyBorder="1" applyAlignment="1" applyProtection="1">
      <alignment vertical="center"/>
      <protection locked="0"/>
    </xf>
    <xf numFmtId="0" fontId="12" fillId="25"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vertical="center"/>
    </xf>
    <xf numFmtId="177" fontId="12" fillId="27" borderId="0" xfId="0" applyNumberFormat="1" applyFont="1" applyFill="1" applyBorder="1" applyAlignment="1" applyProtection="1">
      <alignment horizontal="right" vertical="center" shrinkToFit="1"/>
      <protection locked="0" hidden="1"/>
    </xf>
    <xf numFmtId="177" fontId="0" fillId="27" borderId="0" xfId="0" applyNumberFormat="1" applyFont="1" applyFill="1" applyBorder="1" applyAlignment="1" applyProtection="1">
      <alignment vertical="center" shrinkToFit="1"/>
      <protection locked="0" hidden="1"/>
    </xf>
    <xf numFmtId="177" fontId="12" fillId="27" borderId="0" xfId="0" applyNumberFormat="1" applyFont="1" applyFill="1" applyBorder="1" applyAlignment="1" applyProtection="1">
      <alignment horizontal="center" vertical="center" shrinkToFit="1"/>
      <protection locked="0" hidden="1"/>
    </xf>
    <xf numFmtId="0" fontId="12" fillId="27" borderId="0" xfId="0" applyNumberFormat="1" applyFont="1" applyFill="1" applyBorder="1" applyAlignment="1" applyProtection="1">
      <alignment horizontal="center" vertical="center" shrinkToFit="1"/>
      <protection locked="0" hidden="1"/>
    </xf>
    <xf numFmtId="0" fontId="12" fillId="27" borderId="49" xfId="0" applyNumberFormat="1" applyFont="1" applyFill="1" applyBorder="1" applyAlignment="1" applyProtection="1">
      <alignment horizontal="center" vertical="center" shrinkToFit="1"/>
      <protection locked="0" hidden="1"/>
    </xf>
    <xf numFmtId="0" fontId="0" fillId="27" borderId="49" xfId="0" applyNumberFormat="1" applyFont="1" applyFill="1" applyBorder="1" applyAlignment="1" applyProtection="1">
      <alignment horizontal="center" vertical="center" shrinkToFit="1"/>
      <protection locked="0" hidden="1"/>
    </xf>
    <xf numFmtId="177" fontId="12" fillId="27" borderId="50" xfId="0" applyNumberFormat="1" applyFont="1" applyFill="1" applyBorder="1" applyAlignment="1" applyProtection="1">
      <alignment horizontal="right" vertical="center" shrinkToFit="1"/>
      <protection locked="0" hidden="1"/>
    </xf>
    <xf numFmtId="177" fontId="0" fillId="27" borderId="50" xfId="0" applyNumberFormat="1" applyFont="1" applyFill="1" applyBorder="1" applyAlignment="1" applyProtection="1">
      <alignment vertical="center" shrinkToFit="1"/>
      <protection locked="0" hidden="1"/>
    </xf>
    <xf numFmtId="0" fontId="12" fillId="0" borderId="0" xfId="0" applyNumberFormat="1" applyFont="1" applyFill="1" applyBorder="1" applyAlignment="1" applyProtection="1">
      <alignment vertical="center" shrinkToFit="1"/>
    </xf>
    <xf numFmtId="0" fontId="0" fillId="0" borderId="0" xfId="0" applyNumberFormat="1" applyFont="1" applyFill="1" applyBorder="1" applyAlignment="1" applyProtection="1">
      <alignment vertical="center" shrinkToFit="1"/>
    </xf>
    <xf numFmtId="0" fontId="12" fillId="25" borderId="0" xfId="0" applyNumberFormat="1" applyFont="1" applyFill="1" applyBorder="1" applyAlignment="1" applyProtection="1">
      <alignment horizontal="right" vertical="center" shrinkToFit="1"/>
      <protection locked="0" hidden="1"/>
    </xf>
    <xf numFmtId="0" fontId="12" fillId="25" borderId="0" xfId="0" applyNumberFormat="1" applyFont="1" applyFill="1" applyBorder="1" applyAlignment="1" applyProtection="1">
      <alignment vertical="center" shrinkToFit="1"/>
    </xf>
    <xf numFmtId="0" fontId="0" fillId="25" borderId="0" xfId="0" applyNumberFormat="1" applyFont="1" applyFill="1" applyBorder="1" applyAlignment="1" applyProtection="1">
      <alignment vertical="center" shrinkToFit="1"/>
    </xf>
    <xf numFmtId="0" fontId="8" fillId="0" borderId="0" xfId="0" applyNumberFormat="1" applyFont="1" applyFill="1" applyBorder="1" applyAlignment="1" applyProtection="1">
      <alignment horizontal="center" vertical="center"/>
    </xf>
    <xf numFmtId="0" fontId="8" fillId="0" borderId="49" xfId="0" applyNumberFormat="1" applyFont="1" applyFill="1" applyBorder="1" applyAlignment="1" applyProtection="1">
      <alignment horizontal="center" vertical="center"/>
    </xf>
    <xf numFmtId="0" fontId="9" fillId="33" borderId="11" xfId="122" applyNumberFormat="1" applyFont="1" applyFill="1" applyBorder="1" applyAlignment="1" applyProtection="1">
      <alignment horizontal="left" vertical="center"/>
    </xf>
    <xf numFmtId="0" fontId="9" fillId="0" borderId="11" xfId="122" applyNumberFormat="1" applyFont="1" applyFill="1" applyBorder="1" applyAlignment="1" applyProtection="1">
      <alignment horizontal="left" vertical="center" wrapText="1"/>
    </xf>
    <xf numFmtId="0" fontId="49" fillId="0" borderId="0" xfId="122" applyNumberFormat="1" applyFont="1" applyFill="1" applyBorder="1" applyAlignment="1" applyProtection="1">
      <alignment horizontal="center" vertical="center"/>
    </xf>
    <xf numFmtId="0" fontId="9" fillId="0" borderId="51" xfId="122" applyNumberFormat="1" applyFont="1" applyFill="1" applyBorder="1" applyAlignment="1" applyProtection="1">
      <alignment horizontal="left" vertical="center"/>
    </xf>
    <xf numFmtId="0" fontId="9" fillId="0" borderId="11" xfId="122" applyNumberFormat="1" applyFont="1" applyFill="1" applyBorder="1" applyAlignment="1" applyProtection="1">
      <alignment horizontal="center" vertical="center" wrapText="1"/>
    </xf>
    <xf numFmtId="0" fontId="9" fillId="0" borderId="11" xfId="122" applyNumberFormat="1" applyFont="1" applyFill="1" applyBorder="1" applyAlignment="1" applyProtection="1">
      <alignment horizontal="center" vertical="center"/>
    </xf>
    <xf numFmtId="0" fontId="12" fillId="33" borderId="0" xfId="122" applyNumberFormat="1" applyFont="1" applyFill="1" applyBorder="1" applyAlignment="1" applyProtection="1">
      <alignment horizontal="right" vertical="center"/>
    </xf>
    <xf numFmtId="0" fontId="8" fillId="35" borderId="0" xfId="122" applyNumberFormat="1" applyFont="1" applyFill="1" applyBorder="1" applyAlignment="1" applyProtection="1">
      <alignment horizontal="left" vertical="center"/>
    </xf>
    <xf numFmtId="0" fontId="8" fillId="35" borderId="0" xfId="122" applyNumberFormat="1" applyFont="1" applyFill="1" applyBorder="1" applyAlignment="1" applyProtection="1">
      <alignment horizontal="left" vertical="center" shrinkToFit="1"/>
    </xf>
    <xf numFmtId="0" fontId="40" fillId="0" borderId="52" xfId="0" applyNumberFormat="1" applyFont="1" applyFill="1" applyBorder="1" applyAlignment="1" applyProtection="1">
      <alignment horizontal="right" vertical="center"/>
    </xf>
    <xf numFmtId="0" fontId="40" fillId="0" borderId="0" xfId="0" applyNumberFormat="1" applyFont="1" applyFill="1" applyBorder="1" applyAlignment="1" applyProtection="1">
      <alignment horizontal="right" vertical="center"/>
    </xf>
    <xf numFmtId="0" fontId="40" fillId="0" borderId="49" xfId="0" applyNumberFormat="1" applyFont="1" applyFill="1" applyBorder="1" applyAlignment="1" applyProtection="1">
      <alignment horizontal="right" vertical="center"/>
    </xf>
    <xf numFmtId="0" fontId="42" fillId="0" borderId="10" xfId="0" applyNumberFormat="1" applyFont="1" applyFill="1" applyBorder="1" applyAlignment="1" applyProtection="1">
      <alignment horizontal="center" vertical="center"/>
    </xf>
    <xf numFmtId="0" fontId="42" fillId="0" borderId="52"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horizontal="center" vertical="center"/>
    </xf>
    <xf numFmtId="0" fontId="42" fillId="0" borderId="49" xfId="0" applyNumberFormat="1" applyFont="1" applyFill="1" applyBorder="1" applyAlignment="1" applyProtection="1">
      <alignment horizontal="center" vertical="center"/>
    </xf>
    <xf numFmtId="0" fontId="42" fillId="0" borderId="52" xfId="0" applyNumberFormat="1" applyFont="1" applyFill="1" applyBorder="1" applyAlignment="1" applyProtection="1">
      <alignment horizontal="right" vertical="center"/>
    </xf>
    <xf numFmtId="0" fontId="42" fillId="0" borderId="0" xfId="0" applyNumberFormat="1" applyFont="1" applyFill="1" applyBorder="1" applyAlignment="1" applyProtection="1">
      <alignment horizontal="right" vertical="center"/>
    </xf>
    <xf numFmtId="0" fontId="42" fillId="0" borderId="49" xfId="0" applyNumberFormat="1" applyFont="1" applyFill="1" applyBorder="1" applyAlignment="1" applyProtection="1">
      <alignment horizontal="right" vertical="center"/>
    </xf>
    <xf numFmtId="0" fontId="42" fillId="33" borderId="0" xfId="0" applyNumberFormat="1" applyFont="1" applyFill="1" applyBorder="1" applyAlignment="1" applyProtection="1">
      <alignment vertical="center"/>
    </xf>
    <xf numFmtId="0" fontId="42" fillId="33" borderId="0" xfId="0" applyNumberFormat="1" applyFont="1" applyFill="1" applyBorder="1" applyAlignment="1" applyProtection="1">
      <alignment horizontal="left" vertical="top"/>
    </xf>
    <xf numFmtId="0" fontId="42" fillId="33" borderId="15" xfId="0" applyNumberFormat="1" applyFont="1" applyFill="1" applyBorder="1" applyAlignment="1" applyProtection="1">
      <alignment horizontal="left" vertical="top"/>
    </xf>
    <xf numFmtId="0" fontId="42" fillId="0" borderId="0" xfId="0" applyNumberFormat="1" applyFont="1" applyFill="1" applyBorder="1" applyAlignment="1" applyProtection="1">
      <alignment horizontal="center" vertical="top"/>
    </xf>
    <xf numFmtId="0" fontId="42" fillId="0" borderId="49" xfId="0" applyNumberFormat="1" applyFont="1" applyFill="1" applyBorder="1" applyAlignment="1" applyProtection="1">
      <alignment horizontal="center" vertical="top"/>
    </xf>
    <xf numFmtId="1" fontId="42" fillId="33" borderId="0" xfId="0" applyNumberFormat="1" applyFont="1" applyFill="1" applyBorder="1" applyAlignment="1" applyProtection="1">
      <alignment horizontal="right" vertical="top"/>
    </xf>
    <xf numFmtId="0" fontId="42" fillId="33" borderId="0" xfId="0" applyNumberFormat="1" applyFont="1" applyFill="1" applyBorder="1" applyAlignment="1" applyProtection="1">
      <alignment horizontal="right" vertical="top"/>
    </xf>
    <xf numFmtId="0" fontId="42" fillId="33" borderId="49" xfId="0" applyNumberFormat="1" applyFont="1" applyFill="1" applyBorder="1" applyAlignment="1" applyProtection="1">
      <alignment horizontal="right" vertical="top"/>
    </xf>
    <xf numFmtId="0" fontId="42" fillId="0" borderId="0" xfId="0" applyNumberFormat="1" applyFont="1" applyFill="1" applyBorder="1" applyAlignment="1" applyProtection="1">
      <alignment horizontal="left" vertical="center"/>
    </xf>
    <xf numFmtId="0" fontId="54" fillId="33" borderId="0" xfId="0" applyNumberFormat="1" applyFont="1" applyFill="1" applyBorder="1" applyAlignment="1" applyProtection="1">
      <alignment horizontal="right" vertical="center"/>
    </xf>
    <xf numFmtId="0" fontId="42" fillId="33" borderId="0" xfId="0" applyNumberFormat="1" applyFont="1" applyFill="1" applyBorder="1" applyAlignment="1" applyProtection="1">
      <alignment horizontal="right" vertical="center"/>
    </xf>
    <xf numFmtId="0" fontId="42" fillId="41" borderId="0" xfId="0" applyNumberFormat="1" applyFont="1" applyFill="1" applyBorder="1" applyAlignment="1" applyProtection="1">
      <alignment horizontal="center" vertical="center"/>
    </xf>
    <xf numFmtId="0" fontId="42" fillId="33" borderId="0" xfId="0" applyNumberFormat="1" applyFont="1" applyFill="1" applyBorder="1" applyAlignment="1" applyProtection="1">
      <alignment horizontal="left" vertical="center"/>
    </xf>
    <xf numFmtId="0" fontId="46" fillId="0" borderId="12"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46" fillId="0" borderId="15"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distributed" vertical="center"/>
    </xf>
    <xf numFmtId="0" fontId="42" fillId="0" borderId="49" xfId="0" applyNumberFormat="1" applyFont="1" applyFill="1" applyBorder="1" applyAlignment="1" applyProtection="1">
      <alignment horizontal="distributed" vertical="center"/>
    </xf>
    <xf numFmtId="0" fontId="40" fillId="0" borderId="0" xfId="0" applyNumberFormat="1" applyFont="1" applyFill="1" applyBorder="1" applyAlignment="1" applyProtection="1">
      <alignment horizontal="center" vertical="center"/>
    </xf>
    <xf numFmtId="0" fontId="40" fillId="0" borderId="49" xfId="0" applyNumberFormat="1" applyFont="1" applyFill="1" applyBorder="1" applyAlignment="1" applyProtection="1">
      <alignment horizontal="center" vertical="center"/>
    </xf>
    <xf numFmtId="0" fontId="42" fillId="33" borderId="0"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vertical="center"/>
    </xf>
    <xf numFmtId="0" fontId="42" fillId="35" borderId="0" xfId="0" applyNumberFormat="1" applyFont="1" applyFill="1" applyBorder="1" applyAlignment="1" applyProtection="1">
      <alignment vertical="center" shrinkToFit="1"/>
    </xf>
    <xf numFmtId="0" fontId="40" fillId="0" borderId="12" xfId="0" applyNumberFormat="1" applyFont="1" applyFill="1" applyBorder="1" applyAlignment="1" applyProtection="1">
      <alignment horizontal="center" vertical="center"/>
    </xf>
    <xf numFmtId="0" fontId="42" fillId="0" borderId="15" xfId="0" applyNumberFormat="1" applyFont="1" applyFill="1" applyBorder="1" applyAlignment="1" applyProtection="1">
      <alignment vertical="center"/>
    </xf>
    <xf numFmtId="0" fontId="42" fillId="0" borderId="0" xfId="0" applyNumberFormat="1" applyFont="1" applyFill="1" applyBorder="1" applyAlignment="1" applyProtection="1"/>
    <xf numFmtId="0" fontId="42" fillId="0" borderId="15" xfId="0" applyNumberFormat="1" applyFont="1" applyFill="1" applyBorder="1" applyAlignment="1" applyProtection="1"/>
    <xf numFmtId="0" fontId="44" fillId="33"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vertical="top"/>
    </xf>
    <xf numFmtId="0" fontId="42" fillId="0" borderId="15" xfId="0" applyNumberFormat="1" applyFont="1" applyFill="1" applyBorder="1" applyAlignment="1" applyProtection="1">
      <alignment vertical="top"/>
    </xf>
    <xf numFmtId="0" fontId="40" fillId="33" borderId="0" xfId="0" applyNumberFormat="1" applyFont="1" applyFill="1" applyBorder="1" applyAlignment="1" applyProtection="1">
      <alignment horizontal="left" vertical="center"/>
    </xf>
    <xf numFmtId="1" fontId="40" fillId="33" borderId="12" xfId="0" applyNumberFormat="1" applyFont="1" applyFill="1" applyBorder="1" applyAlignment="1" applyProtection="1">
      <alignment horizontal="center" vertical="center"/>
    </xf>
    <xf numFmtId="1" fontId="40" fillId="33" borderId="0"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left" vertical="center"/>
    </xf>
    <xf numFmtId="0" fontId="42" fillId="0" borderId="15"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left"/>
    </xf>
    <xf numFmtId="0" fontId="42" fillId="0" borderId="0" xfId="0" applyNumberFormat="1" applyFont="1" applyFill="1" applyBorder="1" applyAlignment="1" applyProtection="1">
      <alignment horizontal="left"/>
    </xf>
    <xf numFmtId="0" fontId="42" fillId="33" borderId="15" xfId="0" applyNumberFormat="1" applyFont="1" applyFill="1" applyBorder="1" applyAlignment="1" applyProtection="1">
      <alignment horizontal="left" vertical="center"/>
    </xf>
    <xf numFmtId="0" fontId="42" fillId="35" borderId="0" xfId="0" applyNumberFormat="1" applyFont="1" applyFill="1" applyBorder="1" applyAlignment="1" applyProtection="1">
      <alignment horizontal="left" vertical="center" shrinkToFit="1"/>
    </xf>
    <xf numFmtId="0" fontId="41" fillId="0" borderId="0" xfId="0" applyNumberFormat="1" applyFont="1" applyFill="1" applyBorder="1" applyAlignment="1" applyProtection="1">
      <alignment vertical="center"/>
    </xf>
    <xf numFmtId="0" fontId="41" fillId="0" borderId="15" xfId="0" applyNumberFormat="1" applyFont="1" applyFill="1" applyBorder="1" applyAlignment="1" applyProtection="1">
      <alignment vertical="center"/>
    </xf>
    <xf numFmtId="0" fontId="42" fillId="41" borderId="0" xfId="0" applyNumberFormat="1" applyFont="1" applyFill="1" applyBorder="1" applyAlignment="1" applyProtection="1">
      <alignment horizontal="right" vertical="center"/>
    </xf>
    <xf numFmtId="0" fontId="42" fillId="41" borderId="12" xfId="0" applyNumberFormat="1" applyFont="1" applyFill="1" applyBorder="1" applyAlignment="1" applyProtection="1">
      <alignment horizontal="right" vertical="center"/>
    </xf>
    <xf numFmtId="0" fontId="40" fillId="0" borderId="13" xfId="0" applyNumberFormat="1" applyFont="1" applyFill="1" applyBorder="1" applyAlignment="1" applyProtection="1">
      <alignment horizontal="center" vertical="center"/>
    </xf>
    <xf numFmtId="0" fontId="40" fillId="33" borderId="0" xfId="0" applyNumberFormat="1" applyFont="1" applyFill="1" applyBorder="1" applyAlignment="1" applyProtection="1">
      <alignment horizontal="center" vertical="center"/>
    </xf>
    <xf numFmtId="0" fontId="40" fillId="33" borderId="49" xfId="0" applyNumberFormat="1" applyFont="1" applyFill="1" applyBorder="1" applyAlignment="1" applyProtection="1">
      <alignment horizontal="center" vertical="center"/>
    </xf>
    <xf numFmtId="0" fontId="42" fillId="0" borderId="49" xfId="0" applyNumberFormat="1" applyFont="1" applyFill="1" applyBorder="1" applyAlignment="1" applyProtection="1">
      <alignment vertical="center"/>
    </xf>
    <xf numFmtId="0" fontId="40" fillId="0" borderId="12"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distributed" vertical="center"/>
    </xf>
    <xf numFmtId="0" fontId="42" fillId="0" borderId="13" xfId="0" applyNumberFormat="1" applyFont="1" applyFill="1" applyBorder="1" applyAlignment="1" applyProtection="1">
      <alignment horizontal="distributed" vertical="center"/>
    </xf>
    <xf numFmtId="0" fontId="42" fillId="33" borderId="49" xfId="0" applyNumberFormat="1" applyFont="1" applyFill="1" applyBorder="1" applyAlignment="1" applyProtection="1">
      <alignment horizontal="center" vertical="center"/>
    </xf>
    <xf numFmtId="186" fontId="42" fillId="33" borderId="0" xfId="0" applyNumberFormat="1" applyFont="1" applyFill="1" applyBorder="1" applyAlignment="1" applyProtection="1">
      <alignment horizontal="center" vertical="center"/>
    </xf>
    <xf numFmtId="186" fontId="42" fillId="33" borderId="49" xfId="0" applyNumberFormat="1" applyFont="1" applyFill="1" applyBorder="1" applyAlignment="1" applyProtection="1">
      <alignment horizontal="center" vertical="center"/>
    </xf>
    <xf numFmtId="0" fontId="42" fillId="41" borderId="49" xfId="0" applyNumberFormat="1" applyFont="1" applyFill="1" applyBorder="1" applyAlignment="1" applyProtection="1">
      <alignment horizontal="center" vertical="center"/>
    </xf>
    <xf numFmtId="0" fontId="42" fillId="33" borderId="49" xfId="0" applyNumberFormat="1" applyFont="1" applyFill="1" applyBorder="1" applyAlignment="1" applyProtection="1">
      <alignment horizontal="left" vertical="center"/>
    </xf>
    <xf numFmtId="0" fontId="42" fillId="37" borderId="0" xfId="0" applyNumberFormat="1" applyFont="1" applyFill="1" applyBorder="1" applyAlignment="1" applyProtection="1">
      <alignment horizontal="center"/>
    </xf>
    <xf numFmtId="0" fontId="41" fillId="0" borderId="0" xfId="0" applyNumberFormat="1" applyFont="1" applyFill="1" applyBorder="1" applyAlignment="1" applyProtection="1">
      <alignment horizontal="center" vertical="center"/>
    </xf>
    <xf numFmtId="0" fontId="41" fillId="37" borderId="52" xfId="0" applyNumberFormat="1" applyFont="1" applyFill="1" applyBorder="1" applyAlignment="1" applyProtection="1">
      <alignment horizontal="left" vertical="center"/>
    </xf>
    <xf numFmtId="0" fontId="41" fillId="37" borderId="0" xfId="0" applyNumberFormat="1" applyFont="1" applyFill="1" applyBorder="1" applyAlignment="1" applyProtection="1">
      <alignment horizontal="left" vertical="center"/>
    </xf>
    <xf numFmtId="0" fontId="46" fillId="0" borderId="10"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center" vertical="center"/>
    </xf>
    <xf numFmtId="0" fontId="46" fillId="0" borderId="14"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vertical="center"/>
    </xf>
    <xf numFmtId="0" fontId="55" fillId="0" borderId="52" xfId="0" applyNumberFormat="1" applyFont="1" applyFill="1" applyBorder="1" applyAlignment="1" applyProtection="1">
      <alignment horizontal="center" vertical="center"/>
    </xf>
    <xf numFmtId="0" fontId="42" fillId="35" borderId="0" xfId="0" applyNumberFormat="1" applyFont="1" applyFill="1" applyBorder="1" applyAlignment="1" applyProtection="1">
      <alignment horizontal="left" vertical="center"/>
    </xf>
    <xf numFmtId="0" fontId="42" fillId="35" borderId="0" xfId="0" applyNumberFormat="1" applyFont="1" applyFill="1" applyBorder="1" applyAlignment="1" applyProtection="1">
      <alignment horizontal="center" vertical="center"/>
    </xf>
    <xf numFmtId="0" fontId="42" fillId="35" borderId="0" xfId="0" applyNumberFormat="1" applyFont="1" applyFill="1" applyBorder="1" applyAlignment="1" applyProtection="1">
      <alignment horizontal="right" vertical="center"/>
    </xf>
    <xf numFmtId="0" fontId="44" fillId="35" borderId="0" xfId="0" applyNumberFormat="1" applyFont="1" applyFill="1" applyBorder="1" applyAlignment="1" applyProtection="1">
      <alignment horizontal="left" vertical="center"/>
    </xf>
    <xf numFmtId="0" fontId="40" fillId="35" borderId="0" xfId="0" applyNumberFormat="1" applyFont="1" applyFill="1" applyBorder="1" applyAlignment="1" applyProtection="1">
      <alignment horizontal="left" vertical="center"/>
    </xf>
    <xf numFmtId="0" fontId="42" fillId="35" borderId="0" xfId="0" applyNumberFormat="1" applyFont="1" applyFill="1" applyBorder="1" applyAlignment="1" applyProtection="1">
      <alignment vertical="center"/>
    </xf>
    <xf numFmtId="1" fontId="40" fillId="35" borderId="12" xfId="0" applyNumberFormat="1" applyFont="1" applyFill="1" applyBorder="1" applyAlignment="1" applyProtection="1">
      <alignment horizontal="center" vertical="center"/>
    </xf>
    <xf numFmtId="1" fontId="40" fillId="35" borderId="0" xfId="0" applyNumberFormat="1" applyFont="1" applyFill="1" applyBorder="1" applyAlignment="1" applyProtection="1">
      <alignment horizontal="center" vertical="center"/>
    </xf>
    <xf numFmtId="0" fontId="42" fillId="35" borderId="15" xfId="0" applyNumberFormat="1" applyFont="1" applyFill="1" applyBorder="1" applyAlignment="1" applyProtection="1">
      <alignment horizontal="left" vertical="center"/>
    </xf>
    <xf numFmtId="0" fontId="42" fillId="35" borderId="0" xfId="0" applyNumberFormat="1" applyFont="1" applyFill="1" applyBorder="1" applyAlignment="1" applyProtection="1">
      <alignment horizontal="left" vertical="top"/>
    </xf>
    <xf numFmtId="0" fontId="42" fillId="35" borderId="15" xfId="0" applyNumberFormat="1" applyFont="1" applyFill="1" applyBorder="1" applyAlignment="1" applyProtection="1">
      <alignment horizontal="left" vertical="top"/>
    </xf>
    <xf numFmtId="1" fontId="42" fillId="35" borderId="0" xfId="0" applyNumberFormat="1" applyFont="1" applyFill="1" applyBorder="1" applyAlignment="1" applyProtection="1">
      <alignment horizontal="right" vertical="top"/>
    </xf>
    <xf numFmtId="0" fontId="42" fillId="35" borderId="0" xfId="0" applyNumberFormat="1" applyFont="1" applyFill="1" applyBorder="1" applyAlignment="1" applyProtection="1">
      <alignment horizontal="right" vertical="top"/>
    </xf>
    <xf numFmtId="0" fontId="42" fillId="35" borderId="49" xfId="0" applyNumberFormat="1" applyFont="1" applyFill="1" applyBorder="1" applyAlignment="1" applyProtection="1">
      <alignment horizontal="right" vertical="top"/>
    </xf>
    <xf numFmtId="0" fontId="42" fillId="35" borderId="12" xfId="0" applyNumberFormat="1" applyFont="1" applyFill="1" applyBorder="1" applyAlignment="1" applyProtection="1">
      <alignment horizontal="right" vertical="center"/>
    </xf>
    <xf numFmtId="0" fontId="40" fillId="35" borderId="0" xfId="0" applyNumberFormat="1" applyFont="1" applyFill="1" applyBorder="1" applyAlignment="1" applyProtection="1">
      <alignment horizontal="center" vertical="center"/>
    </xf>
    <xf numFmtId="0" fontId="40" fillId="35" borderId="49" xfId="0" applyNumberFormat="1" applyFont="1" applyFill="1" applyBorder="1" applyAlignment="1" applyProtection="1">
      <alignment horizontal="center" vertical="center"/>
    </xf>
    <xf numFmtId="0" fontId="42" fillId="35" borderId="49" xfId="0" applyNumberFormat="1" applyFont="1" applyFill="1" applyBorder="1" applyAlignment="1" applyProtection="1">
      <alignment horizontal="left" vertical="center"/>
    </xf>
    <xf numFmtId="0" fontId="42" fillId="35" borderId="49" xfId="0" applyNumberFormat="1" applyFont="1" applyFill="1" applyBorder="1" applyAlignment="1" applyProtection="1">
      <alignment horizontal="center" vertical="center"/>
    </xf>
    <xf numFmtId="186" fontId="42" fillId="35" borderId="0" xfId="0" applyNumberFormat="1" applyFont="1" applyFill="1" applyBorder="1" applyAlignment="1" applyProtection="1">
      <alignment horizontal="center" vertical="center"/>
    </xf>
    <xf numFmtId="186" fontId="42" fillId="35" borderId="49" xfId="0" applyNumberFormat="1" applyFont="1" applyFill="1" applyBorder="1" applyAlignment="1" applyProtection="1">
      <alignment horizontal="center" vertical="center"/>
    </xf>
    <xf numFmtId="0" fontId="14" fillId="0" borderId="52" xfId="120" applyNumberFormat="1" applyFont="1" applyFill="1" applyBorder="1" applyAlignment="1" applyProtection="1">
      <alignment horizontal="left" vertical="center" shrinkToFit="1"/>
    </xf>
    <xf numFmtId="0" fontId="14" fillId="0" borderId="0" xfId="120" applyNumberFormat="1" applyFont="1" applyFill="1" applyBorder="1" applyAlignment="1" applyProtection="1">
      <alignment horizontal="left" vertical="center" shrinkToFit="1"/>
    </xf>
    <xf numFmtId="0" fontId="14" fillId="0" borderId="11" xfId="120" applyNumberFormat="1" applyFont="1" applyFill="1" applyBorder="1" applyAlignment="1" applyProtection="1">
      <alignment vertical="center"/>
    </xf>
    <xf numFmtId="0" fontId="14" fillId="35" borderId="21" xfId="120" applyNumberFormat="1" applyFont="1" applyFill="1" applyBorder="1" applyAlignment="1" applyProtection="1">
      <alignment horizontal="left" vertical="center" shrinkToFit="1"/>
    </xf>
    <xf numFmtId="0" fontId="14" fillId="35" borderId="50" xfId="120" applyNumberFormat="1" applyFont="1" applyFill="1" applyBorder="1" applyAlignment="1" applyProtection="1">
      <alignment horizontal="left" vertical="center" shrinkToFit="1"/>
    </xf>
    <xf numFmtId="0" fontId="14" fillId="35" borderId="32" xfId="120" applyNumberFormat="1" applyFont="1" applyFill="1" applyBorder="1" applyAlignment="1" applyProtection="1">
      <alignment horizontal="left" vertical="center" shrinkToFit="1"/>
    </xf>
    <xf numFmtId="0" fontId="14" fillId="35" borderId="21" xfId="120" applyNumberFormat="1" applyFont="1" applyFill="1" applyBorder="1" applyAlignment="1" applyProtection="1">
      <alignment vertical="center" shrinkToFit="1"/>
    </xf>
    <xf numFmtId="0" fontId="14" fillId="35" borderId="50" xfId="120" applyNumberFormat="1" applyFont="1" applyFill="1" applyBorder="1" applyAlignment="1" applyProtection="1">
      <alignment vertical="center" shrinkToFit="1"/>
    </xf>
    <xf numFmtId="0" fontId="14" fillId="35" borderId="50" xfId="120" applyNumberFormat="1" applyFont="1" applyFill="1" applyBorder="1" applyAlignment="1" applyProtection="1">
      <alignment horizontal="center" vertical="center" shrinkToFit="1"/>
    </xf>
    <xf numFmtId="0" fontId="14" fillId="35" borderId="32" xfId="120" applyNumberFormat="1" applyFont="1" applyFill="1" applyBorder="1" applyAlignment="1" applyProtection="1">
      <alignment horizontal="center" vertical="center" shrinkToFit="1"/>
    </xf>
    <xf numFmtId="0" fontId="14" fillId="0" borderId="66" xfId="120" applyNumberFormat="1" applyFont="1" applyFill="1" applyBorder="1" applyAlignment="1" applyProtection="1">
      <alignment horizontal="center" vertical="center"/>
    </xf>
    <xf numFmtId="0" fontId="14" fillId="0" borderId="67" xfId="120" applyNumberFormat="1" applyFont="1" applyFill="1" applyBorder="1" applyAlignment="1" applyProtection="1">
      <alignment horizontal="center" vertical="center"/>
    </xf>
    <xf numFmtId="0" fontId="14" fillId="0" borderId="68" xfId="120" applyNumberFormat="1" applyFont="1" applyFill="1" applyBorder="1" applyAlignment="1" applyProtection="1">
      <alignment horizontal="center" vertical="center"/>
    </xf>
    <xf numFmtId="0" fontId="14" fillId="0" borderId="12" xfId="120" applyNumberFormat="1" applyFont="1" applyFill="1" applyBorder="1" applyAlignment="1" applyProtection="1">
      <alignment horizontal="center" vertical="center"/>
    </xf>
    <xf numFmtId="0" fontId="14" fillId="0" borderId="0" xfId="120" applyNumberFormat="1" applyFont="1" applyFill="1" applyBorder="1" applyAlignment="1" applyProtection="1">
      <alignment horizontal="center" vertical="center"/>
    </xf>
    <xf numFmtId="0" fontId="14" fillId="0" borderId="15" xfId="120" applyNumberFormat="1" applyFont="1" applyFill="1" applyBorder="1" applyAlignment="1" applyProtection="1">
      <alignment horizontal="center" vertical="center"/>
    </xf>
    <xf numFmtId="0" fontId="14" fillId="0" borderId="13" xfId="120" applyNumberFormat="1" applyFont="1" applyFill="1" applyBorder="1" applyAlignment="1" applyProtection="1">
      <alignment horizontal="center" vertical="center"/>
    </xf>
    <xf numFmtId="0" fontId="14" fillId="0" borderId="49" xfId="120" applyNumberFormat="1" applyFont="1" applyFill="1" applyBorder="1" applyAlignment="1" applyProtection="1">
      <alignment horizontal="center" vertical="center"/>
    </xf>
    <xf numFmtId="0" fontId="14" fillId="0" borderId="22" xfId="120" applyNumberFormat="1" applyFont="1" applyFill="1" applyBorder="1" applyAlignment="1" applyProtection="1">
      <alignment horizontal="center" vertical="center"/>
    </xf>
    <xf numFmtId="0" fontId="14" fillId="0" borderId="10" xfId="120" applyNumberFormat="1" applyFont="1" applyFill="1" applyBorder="1" applyAlignment="1" applyProtection="1">
      <alignment horizontal="center" vertical="center"/>
    </xf>
    <xf numFmtId="0" fontId="14" fillId="0" borderId="52" xfId="120" applyNumberFormat="1" applyFont="1" applyFill="1" applyBorder="1" applyAlignment="1" applyProtection="1">
      <alignment horizontal="left" vertical="center" wrapText="1"/>
    </xf>
    <xf numFmtId="0" fontId="14" fillId="0" borderId="14" xfId="120" applyNumberFormat="1" applyFont="1" applyFill="1" applyBorder="1" applyAlignment="1" applyProtection="1">
      <alignment horizontal="left" vertical="center" wrapText="1"/>
    </xf>
    <xf numFmtId="0" fontId="14" fillId="0" borderId="0" xfId="120" applyNumberFormat="1" applyFont="1" applyFill="1" applyBorder="1" applyAlignment="1" applyProtection="1">
      <alignment horizontal="left" vertical="center" wrapText="1"/>
    </xf>
    <xf numFmtId="0" fontId="14" fillId="0" borderId="15" xfId="120" applyNumberFormat="1" applyFont="1" applyFill="1" applyBorder="1" applyAlignment="1" applyProtection="1">
      <alignment horizontal="left" vertical="center" wrapText="1"/>
    </xf>
    <xf numFmtId="0" fontId="14" fillId="0" borderId="49" xfId="120" applyNumberFormat="1" applyFont="1" applyFill="1" applyBorder="1" applyAlignment="1" applyProtection="1">
      <alignment horizontal="left" vertical="center" wrapText="1"/>
    </xf>
    <xf numFmtId="0" fontId="14" fillId="0" borderId="22" xfId="120" applyNumberFormat="1" applyFont="1" applyFill="1" applyBorder="1" applyAlignment="1" applyProtection="1">
      <alignment horizontal="left" vertical="center" wrapText="1"/>
    </xf>
    <xf numFmtId="0" fontId="14" fillId="0" borderId="69" xfId="120" applyNumberFormat="1" applyFont="1" applyFill="1" applyBorder="1" applyAlignment="1" applyProtection="1">
      <alignment horizontal="center" vertical="center" wrapText="1"/>
    </xf>
    <xf numFmtId="0" fontId="14" fillId="0" borderId="70" xfId="120" applyNumberFormat="1" applyFont="1" applyFill="1" applyBorder="1" applyAlignment="1" applyProtection="1">
      <alignment horizontal="center" vertical="center" wrapText="1"/>
    </xf>
    <xf numFmtId="0" fontId="14" fillId="0" borderId="58" xfId="120" applyNumberFormat="1" applyFont="1" applyFill="1" applyBorder="1" applyAlignment="1" applyProtection="1">
      <alignment horizontal="center" vertical="center" wrapText="1"/>
    </xf>
    <xf numFmtId="0" fontId="14" fillId="0" borderId="10" xfId="120" applyNumberFormat="1" applyFont="1" applyFill="1" applyBorder="1" applyAlignment="1" applyProtection="1">
      <alignment horizontal="left" vertical="center" wrapText="1"/>
    </xf>
    <xf numFmtId="0" fontId="14" fillId="0" borderId="12" xfId="120" applyNumberFormat="1" applyFont="1" applyFill="1" applyBorder="1" applyAlignment="1" applyProtection="1">
      <alignment horizontal="left" vertical="center" wrapText="1"/>
    </xf>
    <xf numFmtId="0" fontId="14" fillId="0" borderId="10" xfId="120" applyNumberFormat="1" applyFont="1" applyFill="1" applyBorder="1" applyAlignment="1" applyProtection="1">
      <alignment horizontal="left" vertical="center"/>
    </xf>
    <xf numFmtId="0" fontId="14" fillId="0" borderId="52" xfId="120" applyNumberFormat="1" applyFont="1" applyFill="1" applyBorder="1" applyAlignment="1" applyProtection="1">
      <alignment horizontal="left" vertical="center"/>
    </xf>
    <xf numFmtId="0" fontId="14" fillId="0" borderId="12" xfId="120" applyNumberFormat="1" applyFont="1" applyFill="1" applyBorder="1" applyAlignment="1" applyProtection="1">
      <alignment horizontal="left" vertical="center"/>
    </xf>
    <xf numFmtId="0" fontId="14" fillId="0" borderId="0" xfId="120" applyNumberFormat="1" applyFont="1" applyFill="1" applyBorder="1" applyAlignment="1" applyProtection="1">
      <alignment horizontal="left" vertical="center"/>
    </xf>
    <xf numFmtId="0" fontId="14" fillId="33" borderId="10" xfId="120" applyNumberFormat="1" applyFont="1" applyFill="1" applyBorder="1" applyAlignment="1" applyProtection="1">
      <alignment horizontal="left" vertical="top" wrapText="1" shrinkToFit="1"/>
    </xf>
    <xf numFmtId="0" fontId="14" fillId="33" borderId="52" xfId="120" applyNumberFormat="1" applyFont="1" applyFill="1" applyBorder="1" applyAlignment="1" applyProtection="1">
      <alignment horizontal="left" vertical="top" wrapText="1" shrinkToFit="1"/>
    </xf>
    <xf numFmtId="0" fontId="14" fillId="33" borderId="14" xfId="120" applyNumberFormat="1" applyFont="1" applyFill="1" applyBorder="1" applyAlignment="1" applyProtection="1">
      <alignment horizontal="left" vertical="top" wrapText="1" shrinkToFit="1"/>
    </xf>
    <xf numFmtId="0" fontId="14" fillId="33" borderId="12" xfId="120" applyNumberFormat="1" applyFont="1" applyFill="1" applyBorder="1" applyAlignment="1" applyProtection="1">
      <alignment horizontal="left" vertical="top" wrapText="1" shrinkToFit="1"/>
    </xf>
    <xf numFmtId="0" fontId="14" fillId="33" borderId="0" xfId="120" applyNumberFormat="1" applyFont="1" applyFill="1" applyBorder="1" applyAlignment="1" applyProtection="1">
      <alignment horizontal="left" vertical="top" wrapText="1" shrinkToFit="1"/>
    </xf>
    <xf numFmtId="0" fontId="14" fillId="33" borderId="15" xfId="120" applyNumberFormat="1" applyFont="1" applyFill="1" applyBorder="1" applyAlignment="1" applyProtection="1">
      <alignment horizontal="left" vertical="top" wrapText="1" shrinkToFit="1"/>
    </xf>
    <xf numFmtId="0" fontId="14" fillId="33" borderId="71" xfId="120" applyNumberFormat="1" applyFont="1" applyFill="1" applyBorder="1" applyAlignment="1" applyProtection="1">
      <alignment horizontal="left" vertical="top" wrapText="1" shrinkToFit="1"/>
    </xf>
    <xf numFmtId="0" fontId="14" fillId="33" borderId="72" xfId="120" applyNumberFormat="1" applyFont="1" applyFill="1" applyBorder="1" applyAlignment="1" applyProtection="1">
      <alignment horizontal="left" vertical="top" wrapText="1" shrinkToFit="1"/>
    </xf>
    <xf numFmtId="0" fontId="14" fillId="33" borderId="73" xfId="120" applyNumberFormat="1" applyFont="1" applyFill="1" applyBorder="1" applyAlignment="1" applyProtection="1">
      <alignment horizontal="left" vertical="top" wrapText="1" shrinkToFit="1"/>
    </xf>
    <xf numFmtId="0" fontId="14" fillId="35" borderId="0" xfId="0" applyNumberFormat="1" applyFont="1" applyFill="1" applyBorder="1" applyAlignment="1" applyProtection="1">
      <alignment horizontal="left" vertical="top" wrapText="1"/>
    </xf>
    <xf numFmtId="0" fontId="14" fillId="35" borderId="10" xfId="120" applyNumberFormat="1" applyFont="1" applyFill="1" applyBorder="1" applyAlignment="1" applyProtection="1">
      <alignment horizontal="left" vertical="center" shrinkToFit="1"/>
    </xf>
    <xf numFmtId="0" fontId="14" fillId="35" borderId="52" xfId="120" applyNumberFormat="1" applyFont="1" applyFill="1" applyBorder="1" applyAlignment="1" applyProtection="1">
      <alignment horizontal="left" vertical="center" shrinkToFit="1"/>
    </xf>
    <xf numFmtId="0" fontId="14" fillId="35" borderId="14" xfId="120" applyNumberFormat="1" applyFont="1" applyFill="1" applyBorder="1" applyAlignment="1" applyProtection="1">
      <alignment horizontal="left" vertical="center" shrinkToFit="1"/>
    </xf>
    <xf numFmtId="0" fontId="14" fillId="33" borderId="10" xfId="120" applyNumberFormat="1" applyFont="1" applyFill="1" applyBorder="1" applyAlignment="1" applyProtection="1">
      <alignment horizontal="left" vertical="top" wrapText="1"/>
    </xf>
    <xf numFmtId="0" fontId="14" fillId="33" borderId="52" xfId="120" applyNumberFormat="1" applyFont="1" applyFill="1" applyBorder="1" applyAlignment="1" applyProtection="1">
      <alignment horizontal="left" vertical="top" wrapText="1"/>
    </xf>
    <xf numFmtId="0" fontId="14" fillId="33" borderId="14" xfId="120" applyNumberFormat="1" applyFont="1" applyFill="1" applyBorder="1" applyAlignment="1" applyProtection="1">
      <alignment horizontal="left" vertical="top" wrapText="1"/>
    </xf>
    <xf numFmtId="0" fontId="14" fillId="33" borderId="12" xfId="120" applyNumberFormat="1" applyFont="1" applyFill="1" applyBorder="1" applyAlignment="1" applyProtection="1">
      <alignment horizontal="left" vertical="top" wrapText="1"/>
    </xf>
    <xf numFmtId="0" fontId="14" fillId="33" borderId="0" xfId="120" applyNumberFormat="1" applyFont="1" applyFill="1" applyBorder="1" applyAlignment="1" applyProtection="1">
      <alignment horizontal="left" vertical="top" wrapText="1"/>
    </xf>
    <xf numFmtId="0" fontId="14" fillId="33" borderId="15" xfId="120" applyNumberFormat="1" applyFont="1" applyFill="1" applyBorder="1" applyAlignment="1" applyProtection="1">
      <alignment horizontal="left" vertical="top" wrapText="1"/>
    </xf>
    <xf numFmtId="0" fontId="14" fillId="33" borderId="13" xfId="120" applyNumberFormat="1" applyFont="1" applyFill="1" applyBorder="1" applyAlignment="1" applyProtection="1">
      <alignment horizontal="left" vertical="top" wrapText="1"/>
    </xf>
    <xf numFmtId="0" fontId="14" fillId="33" borderId="49" xfId="120" applyNumberFormat="1" applyFont="1" applyFill="1" applyBorder="1" applyAlignment="1" applyProtection="1">
      <alignment horizontal="left" vertical="top" wrapText="1"/>
    </xf>
    <xf numFmtId="0" fontId="14" fillId="33" borderId="22" xfId="120" applyNumberFormat="1" applyFont="1" applyFill="1" applyBorder="1" applyAlignment="1" applyProtection="1">
      <alignment horizontal="left" vertical="top" wrapText="1"/>
    </xf>
    <xf numFmtId="0" fontId="14" fillId="0" borderId="66" xfId="120" applyNumberFormat="1" applyFont="1" applyFill="1" applyBorder="1" applyAlignment="1" applyProtection="1">
      <alignment horizontal="center" vertical="center" wrapText="1"/>
    </xf>
    <xf numFmtId="0" fontId="14" fillId="0" borderId="12" xfId="120" applyNumberFormat="1" applyFont="1" applyFill="1" applyBorder="1" applyAlignment="1" applyProtection="1">
      <alignment horizontal="center" vertical="center" wrapText="1"/>
    </xf>
    <xf numFmtId="0" fontId="14" fillId="0" borderId="10" xfId="120" applyNumberFormat="1" applyFont="1" applyFill="1" applyBorder="1" applyAlignment="1" applyProtection="1">
      <alignment horizontal="center" vertical="center" wrapText="1"/>
    </xf>
    <xf numFmtId="0" fontId="14" fillId="0" borderId="14" xfId="120" applyNumberFormat="1" applyFont="1" applyFill="1" applyBorder="1" applyAlignment="1" applyProtection="1">
      <alignment horizontal="center" vertical="center"/>
    </xf>
    <xf numFmtId="0" fontId="14" fillId="0" borderId="13" xfId="120" applyNumberFormat="1" applyFont="1" applyFill="1" applyBorder="1" applyAlignment="1" applyProtection="1">
      <alignment horizontal="left" vertical="center" wrapText="1"/>
    </xf>
    <xf numFmtId="0" fontId="14" fillId="0" borderId="14" xfId="120" applyNumberFormat="1" applyFont="1" applyFill="1" applyBorder="1" applyAlignment="1" applyProtection="1">
      <alignment horizontal="left" vertical="center"/>
    </xf>
    <xf numFmtId="0" fontId="14" fillId="0" borderId="49" xfId="120" applyNumberFormat="1" applyFont="1" applyFill="1" applyBorder="1" applyAlignment="1" applyProtection="1">
      <alignment horizontal="left" vertical="center"/>
    </xf>
    <xf numFmtId="0" fontId="14" fillId="0" borderId="22" xfId="120" applyNumberFormat="1" applyFont="1" applyFill="1" applyBorder="1" applyAlignment="1" applyProtection="1">
      <alignment horizontal="left" vertical="center"/>
    </xf>
    <xf numFmtId="0" fontId="14" fillId="0" borderId="15" xfId="120" applyNumberFormat="1" applyFont="1" applyFill="1" applyBorder="1" applyAlignment="1" applyProtection="1">
      <alignment horizontal="left" vertical="center"/>
    </xf>
    <xf numFmtId="0" fontId="14" fillId="0" borderId="13" xfId="12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center" vertical="center"/>
    </xf>
    <xf numFmtId="193" fontId="14" fillId="35" borderId="50" xfId="120" applyNumberFormat="1" applyFont="1" applyFill="1" applyBorder="1" applyAlignment="1" applyProtection="1">
      <alignment horizontal="center" vertical="center" shrinkToFit="1"/>
    </xf>
    <xf numFmtId="0" fontId="14" fillId="33" borderId="0" xfId="120" applyNumberFormat="1" applyFont="1" applyFill="1" applyBorder="1" applyAlignment="1" applyProtection="1">
      <alignment horizontal="right" vertical="center"/>
    </xf>
    <xf numFmtId="0" fontId="6" fillId="0" borderId="0" xfId="121" applyNumberFormat="1" applyFont="1" applyFill="1" applyBorder="1" applyAlignment="1" applyProtection="1">
      <alignment horizontal="center" vertical="center"/>
    </xf>
    <xf numFmtId="188" fontId="14" fillId="0" borderId="52" xfId="121" applyNumberFormat="1" applyFont="1" applyFill="1" applyBorder="1" applyAlignment="1" applyProtection="1">
      <alignment horizontal="center" vertical="center" wrapText="1"/>
    </xf>
    <xf numFmtId="188" fontId="14" fillId="0" borderId="49" xfId="121" applyNumberFormat="1" applyFont="1" applyFill="1" applyBorder="1" applyAlignment="1" applyProtection="1">
      <alignment horizontal="center" vertical="center" wrapText="1"/>
    </xf>
    <xf numFmtId="191" fontId="14" fillId="35" borderId="52" xfId="121" applyNumberFormat="1" applyFont="1" applyFill="1" applyBorder="1" applyAlignment="1" applyProtection="1">
      <alignment horizontal="center" vertical="center" wrapText="1"/>
    </xf>
    <xf numFmtId="191" fontId="14" fillId="35" borderId="49" xfId="121" applyNumberFormat="1" applyFont="1" applyFill="1" applyBorder="1" applyAlignment="1" applyProtection="1">
      <alignment horizontal="center" vertical="center" wrapText="1"/>
    </xf>
    <xf numFmtId="190" fontId="14" fillId="35" borderId="52" xfId="121" applyNumberFormat="1" applyFont="1" applyFill="1" applyBorder="1" applyAlignment="1" applyProtection="1">
      <alignment horizontal="center" vertical="center" wrapText="1"/>
    </xf>
    <xf numFmtId="190" fontId="14" fillId="35" borderId="49" xfId="121" applyNumberFormat="1" applyFont="1" applyFill="1" applyBorder="1" applyAlignment="1" applyProtection="1">
      <alignment horizontal="center" vertical="center" wrapText="1"/>
    </xf>
    <xf numFmtId="0" fontId="14" fillId="35" borderId="0" xfId="121" applyNumberFormat="1" applyFont="1" applyFill="1" applyBorder="1" applyAlignment="1" applyProtection="1">
      <alignment horizontal="left" vertical="top" wrapText="1"/>
    </xf>
    <xf numFmtId="0" fontId="14" fillId="35" borderId="10" xfId="121" applyNumberFormat="1" applyFont="1" applyFill="1" applyBorder="1" applyAlignment="1" applyProtection="1">
      <alignment horizontal="left" vertical="top" wrapText="1"/>
    </xf>
    <xf numFmtId="0" fontId="14" fillId="35" borderId="52" xfId="121" applyNumberFormat="1" applyFont="1" applyFill="1" applyBorder="1" applyAlignment="1" applyProtection="1">
      <alignment horizontal="left" vertical="top" wrapText="1"/>
    </xf>
    <xf numFmtId="0" fontId="14" fillId="35" borderId="14" xfId="121" applyNumberFormat="1" applyFont="1" applyFill="1" applyBorder="1" applyAlignment="1" applyProtection="1">
      <alignment horizontal="left" vertical="top" wrapText="1"/>
    </xf>
    <xf numFmtId="0" fontId="14" fillId="35" borderId="12" xfId="121" applyNumberFormat="1" applyFont="1" applyFill="1" applyBorder="1" applyAlignment="1" applyProtection="1">
      <alignment horizontal="left" vertical="top" wrapText="1"/>
    </xf>
    <xf numFmtId="0" fontId="14" fillId="35" borderId="15" xfId="121" applyNumberFormat="1" applyFont="1" applyFill="1" applyBorder="1" applyAlignment="1" applyProtection="1">
      <alignment horizontal="left" vertical="top" wrapText="1"/>
    </xf>
    <xf numFmtId="0" fontId="14" fillId="35" borderId="13" xfId="121" applyNumberFormat="1" applyFont="1" applyFill="1" applyBorder="1" applyAlignment="1" applyProtection="1">
      <alignment horizontal="left" vertical="top" wrapText="1"/>
    </xf>
    <xf numFmtId="0" fontId="14" fillId="35" borderId="49" xfId="121" applyNumberFormat="1" applyFont="1" applyFill="1" applyBorder="1" applyAlignment="1" applyProtection="1">
      <alignment horizontal="left" vertical="top" wrapText="1"/>
    </xf>
    <xf numFmtId="0" fontId="14" fillId="35" borderId="22" xfId="121" applyNumberFormat="1" applyFont="1" applyFill="1" applyBorder="1" applyAlignment="1" applyProtection="1">
      <alignment horizontal="left" vertical="top" wrapText="1"/>
    </xf>
    <xf numFmtId="0" fontId="14" fillId="0" borderId="0" xfId="121" applyNumberFormat="1" applyFont="1" applyFill="1" applyBorder="1" applyAlignment="1" applyProtection="1">
      <alignment horizontal="left" vertical="distributed" wrapText="1"/>
    </xf>
    <xf numFmtId="0" fontId="16" fillId="0" borderId="0" xfId="121" applyNumberFormat="1" applyFont="1" applyFill="1" applyBorder="1" applyAlignment="1" applyProtection="1">
      <alignment horizontal="left" vertical="center"/>
    </xf>
    <xf numFmtId="0" fontId="38" fillId="0" borderId="0" xfId="121" applyNumberFormat="1" applyFont="1" applyFill="1" applyBorder="1" applyAlignment="1" applyProtection="1">
      <alignment horizontal="center" vertical="center"/>
    </xf>
    <xf numFmtId="0" fontId="14" fillId="35" borderId="0" xfId="121" applyNumberFormat="1" applyFont="1" applyFill="1" applyBorder="1" applyAlignment="1" applyProtection="1">
      <alignment horizontal="left" vertical="center" shrinkToFit="1"/>
    </xf>
    <xf numFmtId="0" fontId="53" fillId="33" borderId="0" xfId="121" applyNumberFormat="1" applyFont="1" applyFill="1" applyBorder="1" applyAlignment="1" applyProtection="1">
      <alignment horizontal="right" vertical="center"/>
    </xf>
    <xf numFmtId="0" fontId="53" fillId="33" borderId="11" xfId="121" applyNumberFormat="1" applyFont="1" applyFill="1" applyBorder="1" applyAlignment="1" applyProtection="1">
      <alignment horizontal="center" vertical="center"/>
    </xf>
    <xf numFmtId="0" fontId="14" fillId="35" borderId="10" xfId="121" applyNumberFormat="1" applyFont="1" applyFill="1" applyBorder="1" applyAlignment="1" applyProtection="1">
      <alignment horizontal="center" vertical="center" wrapText="1"/>
    </xf>
    <xf numFmtId="0" fontId="14" fillId="35" borderId="52" xfId="121" applyNumberFormat="1" applyFont="1" applyFill="1" applyBorder="1" applyAlignment="1" applyProtection="1">
      <alignment horizontal="center" vertical="center" wrapText="1"/>
    </xf>
    <xf numFmtId="0" fontId="14" fillId="35" borderId="14" xfId="121" applyNumberFormat="1" applyFont="1" applyFill="1" applyBorder="1" applyAlignment="1" applyProtection="1">
      <alignment horizontal="center" vertical="center" wrapText="1"/>
    </xf>
    <xf numFmtId="0" fontId="14" fillId="35" borderId="13" xfId="121" applyNumberFormat="1" applyFont="1" applyFill="1" applyBorder="1" applyAlignment="1" applyProtection="1">
      <alignment horizontal="center" vertical="center" wrapText="1"/>
    </xf>
    <xf numFmtId="0" fontId="14" fillId="35" borderId="49" xfId="121" applyNumberFormat="1" applyFont="1" applyFill="1" applyBorder="1" applyAlignment="1" applyProtection="1">
      <alignment horizontal="center" vertical="center" wrapText="1"/>
    </xf>
    <xf numFmtId="0" fontId="14" fillId="35" borderId="22" xfId="121" applyNumberFormat="1" applyFont="1" applyFill="1" applyBorder="1" applyAlignment="1" applyProtection="1">
      <alignment horizontal="center" vertical="center" wrapText="1"/>
    </xf>
    <xf numFmtId="193" fontId="14" fillId="35" borderId="52" xfId="121" applyNumberFormat="1" applyFont="1" applyFill="1" applyBorder="1" applyAlignment="1" applyProtection="1">
      <alignment horizontal="center" vertical="center" wrapText="1"/>
    </xf>
    <xf numFmtId="193" fontId="14" fillId="35" borderId="49" xfId="121"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left" vertical="center" shrinkToFit="1"/>
    </xf>
    <xf numFmtId="0" fontId="14" fillId="0" borderId="50" xfId="121" applyNumberFormat="1" applyFont="1" applyFill="1" applyBorder="1" applyAlignment="1" applyProtection="1">
      <alignment horizontal="distributed" vertical="center" wrapText="1"/>
    </xf>
    <xf numFmtId="0" fontId="14" fillId="35" borderId="21" xfId="121" applyNumberFormat="1" applyFont="1" applyFill="1" applyBorder="1" applyAlignment="1" applyProtection="1">
      <alignment horizontal="left" vertical="center" shrinkToFit="1"/>
    </xf>
    <xf numFmtId="0" fontId="14" fillId="35" borderId="50" xfId="121" applyNumberFormat="1" applyFont="1" applyFill="1" applyBorder="1" applyAlignment="1" applyProtection="1">
      <alignment horizontal="left" vertical="center" shrinkToFit="1"/>
    </xf>
    <xf numFmtId="0" fontId="14" fillId="35" borderId="32" xfId="121" applyNumberFormat="1" applyFont="1" applyFill="1" applyBorder="1" applyAlignment="1" applyProtection="1">
      <alignment horizontal="left" vertical="center" shrinkToFit="1"/>
    </xf>
    <xf numFmtId="0" fontId="39" fillId="0" borderId="0" xfId="121" applyNumberFormat="1" applyFont="1" applyFill="1" applyBorder="1" applyAlignment="1" applyProtection="1">
      <alignment horizontal="center" vertical="center"/>
    </xf>
    <xf numFmtId="0" fontId="14" fillId="35" borderId="21" xfId="121" applyNumberFormat="1" applyFont="1" applyFill="1" applyBorder="1" applyAlignment="1" applyProtection="1">
      <alignment horizontal="left" vertical="center" wrapText="1"/>
    </xf>
    <xf numFmtId="0" fontId="14" fillId="35" borderId="50" xfId="121" applyNumberFormat="1" applyFont="1" applyFill="1" applyBorder="1" applyAlignment="1" applyProtection="1">
      <alignment horizontal="left" vertical="center" wrapText="1"/>
    </xf>
    <xf numFmtId="0" fontId="14" fillId="35" borderId="32" xfId="121" applyNumberFormat="1" applyFont="1" applyFill="1" applyBorder="1" applyAlignment="1" applyProtection="1">
      <alignment horizontal="left" vertical="center" wrapText="1"/>
    </xf>
    <xf numFmtId="0" fontId="14" fillId="33" borderId="0" xfId="121" applyNumberFormat="1" applyFont="1" applyFill="1" applyBorder="1" applyAlignment="1" applyProtection="1">
      <alignment horizontal="right" vertical="center"/>
    </xf>
    <xf numFmtId="193" fontId="14" fillId="35" borderId="0" xfId="121" applyNumberFormat="1" applyFont="1" applyFill="1" applyBorder="1" applyAlignment="1" applyProtection="1">
      <alignment horizontal="right" vertical="center"/>
    </xf>
    <xf numFmtId="0" fontId="14" fillId="0" borderId="74" xfId="121" applyNumberFormat="1" applyFont="1" applyFill="1" applyBorder="1" applyAlignment="1" applyProtection="1">
      <alignment horizontal="center" vertical="center" wrapText="1"/>
    </xf>
    <xf numFmtId="0" fontId="14" fillId="0" borderId="53" xfId="121" applyNumberFormat="1" applyFont="1" applyFill="1" applyBorder="1" applyAlignment="1" applyProtection="1">
      <alignment horizontal="center" vertical="center" wrapText="1"/>
    </xf>
    <xf numFmtId="0" fontId="14" fillId="0" borderId="74" xfId="121" applyNumberFormat="1" applyFont="1" applyFill="1" applyBorder="1" applyAlignment="1" applyProtection="1">
      <alignment horizontal="center" vertical="center"/>
    </xf>
    <xf numFmtId="0" fontId="14" fillId="0" borderId="75" xfId="121" applyNumberFormat="1" applyFont="1" applyFill="1" applyBorder="1" applyAlignment="1" applyProtection="1">
      <alignment horizontal="center" vertical="center"/>
    </xf>
    <xf numFmtId="0" fontId="14" fillId="0" borderId="53" xfId="121" applyNumberFormat="1" applyFont="1" applyFill="1" applyBorder="1" applyAlignment="1" applyProtection="1">
      <alignment horizontal="center" vertical="center"/>
    </xf>
    <xf numFmtId="0" fontId="14" fillId="0" borderId="76" xfId="121" applyNumberFormat="1" applyFont="1" applyFill="1" applyBorder="1" applyAlignment="1" applyProtection="1">
      <alignment horizontal="distributed" vertical="center" wrapText="1"/>
    </xf>
    <xf numFmtId="0" fontId="14" fillId="33" borderId="77" xfId="121" applyNumberFormat="1" applyFont="1" applyFill="1" applyBorder="1" applyAlignment="1" applyProtection="1">
      <alignment horizontal="left" vertical="center" wrapText="1"/>
    </xf>
    <xf numFmtId="0" fontId="14" fillId="33" borderId="76" xfId="121" applyNumberFormat="1" applyFont="1" applyFill="1" applyBorder="1" applyAlignment="1" applyProtection="1">
      <alignment horizontal="left" vertical="center" wrapText="1"/>
    </xf>
    <xf numFmtId="0" fontId="14" fillId="33" borderId="78" xfId="121" applyNumberFormat="1" applyFont="1" applyFill="1" applyBorder="1" applyAlignment="1" applyProtection="1">
      <alignment horizontal="left" vertical="center" wrapText="1"/>
    </xf>
    <xf numFmtId="193" fontId="14" fillId="35" borderId="21" xfId="121" applyNumberFormat="1" applyFont="1" applyFill="1" applyBorder="1" applyAlignment="1" applyProtection="1">
      <alignment horizontal="right" vertical="center" shrinkToFit="1"/>
    </xf>
    <xf numFmtId="193" fontId="14" fillId="35" borderId="50" xfId="121" applyNumberFormat="1" applyFont="1" applyFill="1" applyBorder="1" applyAlignment="1" applyProtection="1">
      <alignment horizontal="right" vertical="center" shrinkToFit="1"/>
    </xf>
    <xf numFmtId="0" fontId="14" fillId="0" borderId="0" xfId="121" applyNumberFormat="1" applyFont="1" applyFill="1" applyBorder="1" applyAlignment="1" applyProtection="1">
      <alignment horizontal="left" vertical="center" shrinkToFit="1"/>
    </xf>
    <xf numFmtId="193" fontId="14" fillId="35" borderId="0" xfId="121" applyNumberFormat="1" applyFont="1" applyFill="1" applyBorder="1" applyAlignment="1" applyProtection="1">
      <alignment vertical="center"/>
    </xf>
    <xf numFmtId="0" fontId="14" fillId="33" borderId="21" xfId="121" applyNumberFormat="1" applyFont="1" applyFill="1" applyBorder="1" applyAlignment="1" applyProtection="1">
      <alignment horizontal="left" vertical="center" shrinkToFit="1"/>
    </xf>
    <xf numFmtId="0" fontId="14" fillId="33" borderId="50" xfId="121" applyNumberFormat="1" applyFont="1" applyFill="1" applyBorder="1" applyAlignment="1" applyProtection="1">
      <alignment horizontal="left" vertical="center" shrinkToFit="1"/>
    </xf>
    <xf numFmtId="0" fontId="14" fillId="33" borderId="32" xfId="121" applyNumberFormat="1" applyFont="1" applyFill="1" applyBorder="1" applyAlignment="1" applyProtection="1">
      <alignment horizontal="left" vertical="center" shrinkToFit="1"/>
    </xf>
    <xf numFmtId="0" fontId="14" fillId="33" borderId="21" xfId="121" applyNumberFormat="1" applyFont="1" applyFill="1" applyBorder="1" applyAlignment="1" applyProtection="1">
      <alignment horizontal="right" vertical="center" shrinkToFit="1"/>
    </xf>
    <xf numFmtId="0" fontId="14" fillId="33" borderId="50" xfId="121" applyNumberFormat="1" applyFont="1" applyFill="1" applyBorder="1" applyAlignment="1" applyProtection="1">
      <alignment horizontal="right" vertical="center" shrinkToFit="1"/>
    </xf>
    <xf numFmtId="0" fontId="14" fillId="0" borderId="50" xfId="0" applyNumberFormat="1" applyFont="1" applyFill="1" applyBorder="1" applyAlignment="1" applyProtection="1">
      <alignment vertical="center"/>
    </xf>
    <xf numFmtId="0" fontId="14" fillId="0" borderId="32" xfId="0" applyNumberFormat="1" applyFont="1" applyFill="1" applyBorder="1" applyAlignment="1" applyProtection="1">
      <alignment vertical="center"/>
    </xf>
    <xf numFmtId="0" fontId="14" fillId="35" borderId="50" xfId="0" applyNumberFormat="1" applyFont="1" applyFill="1" applyBorder="1" applyAlignment="1" applyProtection="1">
      <alignment horizontal="center" vertical="center"/>
    </xf>
    <xf numFmtId="0" fontId="14" fillId="35" borderId="32" xfId="0" applyNumberFormat="1" applyFont="1" applyFill="1" applyBorder="1" applyAlignment="1" applyProtection="1">
      <alignment horizontal="center" vertical="center"/>
    </xf>
    <xf numFmtId="0" fontId="14" fillId="33" borderId="0" xfId="0" applyNumberFormat="1" applyFont="1" applyFill="1" applyBorder="1" applyAlignment="1" applyProtection="1">
      <alignment horizontal="right" vertical="center"/>
    </xf>
    <xf numFmtId="193" fontId="14" fillId="35" borderId="21" xfId="0" applyNumberFormat="1" applyFont="1" applyFill="1" applyBorder="1" applyAlignment="1" applyProtection="1">
      <alignment horizontal="right" vertical="center"/>
    </xf>
    <xf numFmtId="193" fontId="14" fillId="35" borderId="50" xfId="0" applyNumberFormat="1" applyFont="1" applyFill="1" applyBorder="1" applyAlignment="1" applyProtection="1">
      <alignment horizontal="right" vertical="center"/>
    </xf>
    <xf numFmtId="0" fontId="14" fillId="0" borderId="49" xfId="0" applyNumberFormat="1" applyFont="1" applyFill="1" applyBorder="1" applyAlignment="1" applyProtection="1">
      <alignment vertical="center"/>
    </xf>
    <xf numFmtId="0" fontId="14" fillId="0" borderId="22" xfId="0" applyNumberFormat="1" applyFont="1" applyFill="1" applyBorder="1" applyAlignment="1" applyProtection="1">
      <alignment vertical="center"/>
    </xf>
    <xf numFmtId="0" fontId="14" fillId="33" borderId="21" xfId="0" applyNumberFormat="1" applyFont="1" applyFill="1" applyBorder="1" applyAlignment="1" applyProtection="1">
      <alignment vertical="center"/>
    </xf>
    <xf numFmtId="0" fontId="14" fillId="33" borderId="50" xfId="0" applyNumberFormat="1" applyFont="1" applyFill="1" applyBorder="1" applyAlignment="1" applyProtection="1">
      <alignment vertical="center"/>
    </xf>
    <xf numFmtId="0" fontId="14" fillId="33" borderId="32" xfId="0" applyNumberFormat="1" applyFont="1" applyFill="1" applyBorder="1" applyAlignment="1" applyProtection="1">
      <alignment vertical="center"/>
    </xf>
    <xf numFmtId="0" fontId="14" fillId="0" borderId="21" xfId="0" applyNumberFormat="1" applyFont="1" applyFill="1" applyBorder="1" applyAlignment="1" applyProtection="1">
      <alignment horizontal="center" vertical="center" wrapText="1"/>
    </xf>
    <xf numFmtId="0" fontId="14" fillId="0" borderId="32" xfId="0" applyNumberFormat="1" applyFont="1" applyFill="1" applyBorder="1" applyAlignment="1" applyProtection="1">
      <alignment horizontal="center" vertical="center"/>
    </xf>
    <xf numFmtId="0" fontId="14" fillId="0" borderId="21" xfId="0" applyNumberFormat="1" applyFont="1" applyFill="1" applyBorder="1" applyAlignment="1" applyProtection="1">
      <alignment horizontal="center" vertical="center"/>
    </xf>
    <xf numFmtId="0" fontId="14" fillId="0" borderId="5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wrapText="1"/>
    </xf>
    <xf numFmtId="0" fontId="14" fillId="0" borderId="0" xfId="0" applyNumberFormat="1" applyFont="1" applyFill="1" applyBorder="1" applyAlignment="1" applyProtection="1">
      <alignment vertical="center"/>
    </xf>
    <xf numFmtId="0" fontId="14" fillId="0" borderId="15" xfId="0" applyNumberFormat="1" applyFont="1" applyFill="1" applyBorder="1" applyAlignment="1" applyProtection="1">
      <alignment vertical="center"/>
    </xf>
    <xf numFmtId="0" fontId="14" fillId="35" borderId="21" xfId="0" applyNumberFormat="1" applyFont="1" applyFill="1" applyBorder="1" applyAlignment="1" applyProtection="1">
      <alignment horizontal="left" vertical="center" wrapText="1"/>
    </xf>
    <xf numFmtId="0" fontId="14" fillId="35" borderId="50" xfId="0" applyNumberFormat="1" applyFont="1" applyFill="1" applyBorder="1" applyAlignment="1" applyProtection="1">
      <alignment horizontal="left" vertical="center" wrapText="1"/>
    </xf>
    <xf numFmtId="0" fontId="14" fillId="35" borderId="32" xfId="0" applyNumberFormat="1" applyFont="1" applyFill="1" applyBorder="1" applyAlignment="1" applyProtection="1">
      <alignment horizontal="left" vertical="center" wrapText="1"/>
    </xf>
    <xf numFmtId="0" fontId="14" fillId="0" borderId="50" xfId="0" applyNumberFormat="1" applyFont="1" applyFill="1" applyBorder="1" applyAlignment="1" applyProtection="1">
      <alignment vertical="center" wrapText="1"/>
    </xf>
    <xf numFmtId="0" fontId="8" fillId="35" borderId="0" xfId="122" applyNumberFormat="1" applyFont="1" applyFill="1" applyBorder="1" applyAlignment="1" applyProtection="1">
      <alignment horizontal="left" vertical="top" shrinkToFit="1"/>
    </xf>
    <xf numFmtId="0" fontId="52" fillId="0" borderId="10" xfId="0" applyNumberFormat="1" applyFont="1" applyFill="1" applyBorder="1" applyAlignment="1" applyProtection="1">
      <alignment horizontal="center" vertical="center"/>
    </xf>
    <xf numFmtId="0" fontId="52" fillId="0" borderId="52" xfId="0" applyNumberFormat="1" applyFont="1" applyFill="1" applyBorder="1" applyAlignment="1" applyProtection="1">
      <alignment horizontal="center" vertical="center"/>
    </xf>
    <xf numFmtId="0" fontId="52" fillId="0" borderId="14" xfId="0" applyNumberFormat="1" applyFont="1" applyFill="1" applyBorder="1" applyAlignment="1" applyProtection="1">
      <alignment horizontal="center" vertical="center"/>
    </xf>
    <xf numFmtId="0" fontId="52" fillId="0" borderId="12"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horizontal="center" vertical="center"/>
    </xf>
    <xf numFmtId="0" fontId="52" fillId="0" borderId="15" xfId="0" applyNumberFormat="1" applyFont="1" applyFill="1" applyBorder="1" applyAlignment="1" applyProtection="1">
      <alignment horizontal="center" vertical="center"/>
    </xf>
    <xf numFmtId="0" fontId="52" fillId="0" borderId="13" xfId="0" applyNumberFormat="1" applyFont="1" applyFill="1" applyBorder="1" applyAlignment="1" applyProtection="1">
      <alignment horizontal="center" vertical="center"/>
    </xf>
    <xf numFmtId="0" fontId="52" fillId="0" borderId="49" xfId="0" applyNumberFormat="1" applyFont="1" applyFill="1" applyBorder="1" applyAlignment="1" applyProtection="1">
      <alignment horizontal="center" vertical="center"/>
    </xf>
    <xf numFmtId="0" fontId="52" fillId="0" borderId="22" xfId="0" applyNumberFormat="1" applyFont="1" applyFill="1" applyBorder="1" applyAlignment="1" applyProtection="1">
      <alignment horizontal="center" vertical="center"/>
    </xf>
    <xf numFmtId="0" fontId="0" fillId="38" borderId="11" xfId="0" applyNumberFormat="1" applyFont="1" applyFill="1" applyBorder="1" applyAlignment="1" applyProtection="1">
      <alignment horizontal="left" vertical="center"/>
    </xf>
    <xf numFmtId="0" fontId="0" fillId="38" borderId="11" xfId="0" applyNumberFormat="1" applyFont="1" applyFill="1" applyBorder="1" applyAlignment="1" applyProtection="1">
      <alignment horizontal="center"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2 2" xfId="59"/>
    <cellStyle name="パーセント 2 3" xfId="60"/>
    <cellStyle name="ハイパーリンク" xfId="2" builtinId="8"/>
    <cellStyle name="メモ 2" xfId="33"/>
    <cellStyle name="リンク セル 2" xfId="34"/>
    <cellStyle name="悪い 2" xfId="35"/>
    <cellStyle name="計算 2" xfId="36"/>
    <cellStyle name="警告文 2" xfId="37"/>
    <cellStyle name="桁区切り 2" xfId="38"/>
    <cellStyle name="見出し 1 2" xfId="39"/>
    <cellStyle name="見出し 2 2" xfId="40"/>
    <cellStyle name="見出し 3 2" xfId="41"/>
    <cellStyle name="見出し 4 2" xfId="42"/>
    <cellStyle name="集計 2" xfId="43"/>
    <cellStyle name="出力 2" xfId="44"/>
    <cellStyle name="説明文 2" xfId="45"/>
    <cellStyle name="通貨 2" xfId="47"/>
    <cellStyle name="通貨 2 2" xfId="61"/>
    <cellStyle name="通貨 2 2 2" xfId="62"/>
    <cellStyle name="通貨 2 2 3" xfId="63"/>
    <cellStyle name="通貨 2 3" xfId="64"/>
    <cellStyle name="通貨 2 4" xfId="65"/>
    <cellStyle name="通貨 2 5" xfId="66"/>
    <cellStyle name="通貨 2 6" xfId="67"/>
    <cellStyle name="通貨 3" xfId="46"/>
    <cellStyle name="通貨 3 2" xfId="68"/>
    <cellStyle name="入力 2" xfId="48"/>
    <cellStyle name="標準" xfId="0" builtinId="0"/>
    <cellStyle name="標準 10" xfId="69"/>
    <cellStyle name="標準 11" xfId="70"/>
    <cellStyle name="標準 12" xfId="71"/>
    <cellStyle name="標準 13" xfId="72"/>
    <cellStyle name="標準 14" xfId="73"/>
    <cellStyle name="標準 15" xfId="74"/>
    <cellStyle name="標準 16" xfId="75"/>
    <cellStyle name="標準 17" xfId="76"/>
    <cellStyle name="標準 18" xfId="77"/>
    <cellStyle name="標準 19" xfId="78"/>
    <cellStyle name="標準 2" xfId="1"/>
    <cellStyle name="標準 2 2" xfId="50"/>
    <cellStyle name="標準 2 3" xfId="51"/>
    <cellStyle name="標準 2 3 2" xfId="79"/>
    <cellStyle name="標準 2 4" xfId="49"/>
    <cellStyle name="標準 2 5" xfId="80"/>
    <cellStyle name="標準 20" xfId="81"/>
    <cellStyle name="標準 21" xfId="82"/>
    <cellStyle name="標準 22" xfId="83"/>
    <cellStyle name="標準 23" xfId="84"/>
    <cellStyle name="標準 24" xfId="85"/>
    <cellStyle name="標準 25" xfId="86"/>
    <cellStyle name="標準 26" xfId="87"/>
    <cellStyle name="標準 27" xfId="88"/>
    <cellStyle name="標準 28" xfId="89"/>
    <cellStyle name="標準 29" xfId="90"/>
    <cellStyle name="標準 3" xfId="52"/>
    <cellStyle name="標準 3 2" xfId="56"/>
    <cellStyle name="標準 30" xfId="58"/>
    <cellStyle name="標準 31" xfId="91"/>
    <cellStyle name="標準 32" xfId="92"/>
    <cellStyle name="標準 33" xfId="93"/>
    <cellStyle name="標準 34" xfId="94"/>
    <cellStyle name="標準 35" xfId="95"/>
    <cellStyle name="標準 36" xfId="96"/>
    <cellStyle name="標準 37" xfId="97"/>
    <cellStyle name="標準 38" xfId="98"/>
    <cellStyle name="標準 39" xfId="99"/>
    <cellStyle name="標準 4" xfId="53"/>
    <cellStyle name="標準 4 2" xfId="100"/>
    <cellStyle name="標準 4 2 2" xfId="101"/>
    <cellStyle name="標準 4 3" xfId="102"/>
    <cellStyle name="標準 40" xfId="103"/>
    <cellStyle name="標準 41" xfId="104"/>
    <cellStyle name="標準 42" xfId="105"/>
    <cellStyle name="標準 43" xfId="106"/>
    <cellStyle name="標準 44" xfId="107"/>
    <cellStyle name="標準 45" xfId="108"/>
    <cellStyle name="標準 46" xfId="122"/>
    <cellStyle name="標準 5" xfId="4"/>
    <cellStyle name="標準 5 2" xfId="57"/>
    <cellStyle name="標準 5 2 2" xfId="109"/>
    <cellStyle name="標準 5 2 3" xfId="110"/>
    <cellStyle name="標準 5 2 4" xfId="111"/>
    <cellStyle name="標準 5 3" xfId="112"/>
    <cellStyle name="標準 5 4" xfId="113"/>
    <cellStyle name="標準 5 5" xfId="114"/>
    <cellStyle name="標準 50" xfId="120"/>
    <cellStyle name="標準 51" xfId="121"/>
    <cellStyle name="標準 6" xfId="55"/>
    <cellStyle name="標準 6 2" xfId="115"/>
    <cellStyle name="標準 7" xfId="116"/>
    <cellStyle name="標準 7 2" xfId="117"/>
    <cellStyle name="標準 8" xfId="118"/>
    <cellStyle name="標準 9" xfId="119"/>
    <cellStyle name="標準_主要用途" xfId="3"/>
    <cellStyle name="良い 2" xfId="54"/>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99CC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46276</xdr:colOff>
      <xdr:row>18</xdr:row>
      <xdr:rowOff>5730</xdr:rowOff>
    </xdr:from>
    <xdr:to>
      <xdr:col>32</xdr:col>
      <xdr:colOff>182249</xdr:colOff>
      <xdr:row>18</xdr:row>
      <xdr:rowOff>5730</xdr:rowOff>
    </xdr:to>
    <xdr:sp macro="" textlink="">
      <xdr:nvSpPr>
        <xdr:cNvPr id="1025" name="Picture 1025">
          <a:extLst>
            <a:ext uri="{FF2B5EF4-FFF2-40B4-BE49-F238E27FC236}">
              <a16:creationId xmlns:a16="http://schemas.microsoft.com/office/drawing/2014/main" id="{00000000-0008-0000-0E00-000001040000}"/>
            </a:ext>
          </a:extLst>
        </xdr:cNvPr>
        <xdr:cNvSpPr/>
      </xdr:nvSpPr>
      <xdr:spPr>
        <a:xfrm>
          <a:off x="760638" y="13616667"/>
          <a:ext cx="6508297"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4930</xdr:colOff>
      <xdr:row>75</xdr:row>
      <xdr:rowOff>44053</xdr:rowOff>
    </xdr:from>
    <xdr:to>
      <xdr:col>37</xdr:col>
      <xdr:colOff>29301</xdr:colOff>
      <xdr:row>84</xdr:row>
      <xdr:rowOff>36612</xdr:rowOff>
    </xdr:to>
    <xdr:sp macro="" textlink="">
      <xdr:nvSpPr>
        <xdr:cNvPr id="2" name="左大かっこ 1">
          <a:extLst>
            <a:ext uri="{FF2B5EF4-FFF2-40B4-BE49-F238E27FC236}">
              <a16:creationId xmlns:a16="http://schemas.microsoft.com/office/drawing/2014/main" id="{ED283CAF-BB67-4274-A522-5333E99DACD9}"/>
            </a:ext>
          </a:extLst>
        </xdr:cNvPr>
        <xdr:cNvSpPr/>
      </xdr:nvSpPr>
      <xdr:spPr>
        <a:xfrm>
          <a:off x="3433932" y="12902712"/>
          <a:ext cx="119626" cy="15357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twoCellAnchor>
    <xdr:from>
      <xdr:col>68</xdr:col>
      <xdr:colOff>42509</xdr:colOff>
      <xdr:row>75</xdr:row>
      <xdr:rowOff>35123</xdr:rowOff>
    </xdr:from>
    <xdr:to>
      <xdr:col>69</xdr:col>
      <xdr:colOff>51253</xdr:colOff>
      <xdr:row>84</xdr:row>
      <xdr:rowOff>27980</xdr:rowOff>
    </xdr:to>
    <xdr:sp macro="" textlink="">
      <xdr:nvSpPr>
        <xdr:cNvPr id="3" name="左大かっこ 2">
          <a:extLst>
            <a:ext uri="{FF2B5EF4-FFF2-40B4-BE49-F238E27FC236}">
              <a16:creationId xmlns:a16="http://schemas.microsoft.com/office/drawing/2014/main" id="{C8A34C76-EDCF-4543-BD93-B2F333FA370A}"/>
            </a:ext>
          </a:extLst>
        </xdr:cNvPr>
        <xdr:cNvSpPr/>
      </xdr:nvSpPr>
      <xdr:spPr>
        <a:xfrm flipH="1">
          <a:off x="6519497" y="12893920"/>
          <a:ext cx="104042" cy="15357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twoCellAnchor>
    <xdr:from>
      <xdr:col>36</xdr:col>
      <xdr:colOff>4930</xdr:colOff>
      <xdr:row>197</xdr:row>
      <xdr:rowOff>44053</xdr:rowOff>
    </xdr:from>
    <xdr:to>
      <xdr:col>37</xdr:col>
      <xdr:colOff>29301</xdr:colOff>
      <xdr:row>206</xdr:row>
      <xdr:rowOff>36612</xdr:rowOff>
    </xdr:to>
    <xdr:sp macro="" textlink="">
      <xdr:nvSpPr>
        <xdr:cNvPr id="4" name="左大かっこ 3">
          <a:extLst>
            <a:ext uri="{FF2B5EF4-FFF2-40B4-BE49-F238E27FC236}">
              <a16:creationId xmlns:a16="http://schemas.microsoft.com/office/drawing/2014/main" id="{5F35940D-05CB-4E00-B225-85678DC393DF}"/>
            </a:ext>
          </a:extLst>
        </xdr:cNvPr>
        <xdr:cNvSpPr/>
      </xdr:nvSpPr>
      <xdr:spPr>
        <a:xfrm>
          <a:off x="3433932" y="33819612"/>
          <a:ext cx="119626" cy="15357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twoCellAnchor>
    <xdr:from>
      <xdr:col>68</xdr:col>
      <xdr:colOff>42509</xdr:colOff>
      <xdr:row>197</xdr:row>
      <xdr:rowOff>35123</xdr:rowOff>
    </xdr:from>
    <xdr:to>
      <xdr:col>69</xdr:col>
      <xdr:colOff>51253</xdr:colOff>
      <xdr:row>206</xdr:row>
      <xdr:rowOff>27980</xdr:rowOff>
    </xdr:to>
    <xdr:sp macro="" textlink="">
      <xdr:nvSpPr>
        <xdr:cNvPr id="5" name="左大かっこ 4">
          <a:extLst>
            <a:ext uri="{FF2B5EF4-FFF2-40B4-BE49-F238E27FC236}">
              <a16:creationId xmlns:a16="http://schemas.microsoft.com/office/drawing/2014/main" id="{5DFACD1A-1CB1-40E5-AE5F-9444D7570418}"/>
            </a:ext>
          </a:extLst>
        </xdr:cNvPr>
        <xdr:cNvSpPr/>
      </xdr:nvSpPr>
      <xdr:spPr>
        <a:xfrm flipH="1">
          <a:off x="6519497" y="33810820"/>
          <a:ext cx="104042" cy="15357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197290</xdr:colOff>
      <xdr:row>5</xdr:row>
      <xdr:rowOff>214908</xdr:rowOff>
    </xdr:from>
    <xdr:to>
      <xdr:col>31</xdr:col>
      <xdr:colOff>9572</xdr:colOff>
      <xdr:row>5</xdr:row>
      <xdr:rowOff>214908</xdr:rowOff>
    </xdr:to>
    <xdr:sp macro="" textlink="">
      <xdr:nvSpPr>
        <xdr:cNvPr id="2" name="Picture 4097">
          <a:extLst>
            <a:ext uri="{FF2B5EF4-FFF2-40B4-BE49-F238E27FC236}">
              <a16:creationId xmlns:a16="http://schemas.microsoft.com/office/drawing/2014/main" id="{63DC34AC-C076-4316-A31F-EC86DBDEA75C}"/>
            </a:ext>
          </a:extLst>
        </xdr:cNvPr>
        <xdr:cNvSpPr/>
      </xdr:nvSpPr>
      <xdr:spPr>
        <a:xfrm>
          <a:off x="197373" y="1358057"/>
          <a:ext cx="6012926"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twoCellAnchor>
    <xdr:from>
      <xdr:col>0</xdr:col>
      <xdr:colOff>197290</xdr:colOff>
      <xdr:row>5</xdr:row>
      <xdr:rowOff>214908</xdr:rowOff>
    </xdr:from>
    <xdr:to>
      <xdr:col>31</xdr:col>
      <xdr:colOff>9572</xdr:colOff>
      <xdr:row>5</xdr:row>
      <xdr:rowOff>214908</xdr:rowOff>
    </xdr:to>
    <xdr:sp macro="" textlink="">
      <xdr:nvSpPr>
        <xdr:cNvPr id="3" name="Picture 4097">
          <a:extLst>
            <a:ext uri="{FF2B5EF4-FFF2-40B4-BE49-F238E27FC236}">
              <a16:creationId xmlns:a16="http://schemas.microsoft.com/office/drawing/2014/main" id="{131334B3-458C-4DDF-A610-644601694AF1}"/>
            </a:ext>
          </a:extLst>
        </xdr:cNvPr>
        <xdr:cNvSpPr/>
      </xdr:nvSpPr>
      <xdr:spPr>
        <a:xfrm>
          <a:off x="197373" y="1358057"/>
          <a:ext cx="6012926"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twoCellAnchor>
    <xdr:from>
      <xdr:col>0</xdr:col>
      <xdr:colOff>197290</xdr:colOff>
      <xdr:row>5</xdr:row>
      <xdr:rowOff>214908</xdr:rowOff>
    </xdr:from>
    <xdr:to>
      <xdr:col>31</xdr:col>
      <xdr:colOff>9572</xdr:colOff>
      <xdr:row>5</xdr:row>
      <xdr:rowOff>214908</xdr:rowOff>
    </xdr:to>
    <xdr:sp macro="" textlink="">
      <xdr:nvSpPr>
        <xdr:cNvPr id="4" name="Picture 4097">
          <a:extLst>
            <a:ext uri="{FF2B5EF4-FFF2-40B4-BE49-F238E27FC236}">
              <a16:creationId xmlns:a16="http://schemas.microsoft.com/office/drawing/2014/main" id="{D73F4F88-3B93-41C3-B76F-69804B0A378D}"/>
            </a:ext>
          </a:extLst>
        </xdr:cNvPr>
        <xdr:cNvSpPr/>
      </xdr:nvSpPr>
      <xdr:spPr>
        <a:xfrm>
          <a:off x="197373" y="1358057"/>
          <a:ext cx="6012926"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twoCellAnchor>
    <xdr:from>
      <xdr:col>0</xdr:col>
      <xdr:colOff>197290</xdr:colOff>
      <xdr:row>5</xdr:row>
      <xdr:rowOff>214908</xdr:rowOff>
    </xdr:from>
    <xdr:to>
      <xdr:col>31</xdr:col>
      <xdr:colOff>9572</xdr:colOff>
      <xdr:row>5</xdr:row>
      <xdr:rowOff>214908</xdr:rowOff>
    </xdr:to>
    <xdr:sp macro="" textlink="">
      <xdr:nvSpPr>
        <xdr:cNvPr id="5" name="Picture 4097">
          <a:extLst>
            <a:ext uri="{FF2B5EF4-FFF2-40B4-BE49-F238E27FC236}">
              <a16:creationId xmlns:a16="http://schemas.microsoft.com/office/drawing/2014/main" id="{5C9A90C3-00CB-44B2-9B1D-98161568FA65}"/>
            </a:ext>
          </a:extLst>
        </xdr:cNvPr>
        <xdr:cNvSpPr/>
      </xdr:nvSpPr>
      <xdr:spPr>
        <a:xfrm>
          <a:off x="197373" y="1358057"/>
          <a:ext cx="6012926"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54499</xdr:colOff>
      <xdr:row>4</xdr:row>
      <xdr:rowOff>81707</xdr:rowOff>
    </xdr:from>
    <xdr:to>
      <xdr:col>31</xdr:col>
      <xdr:colOff>190453</xdr:colOff>
      <xdr:row>4</xdr:row>
      <xdr:rowOff>81707</xdr:rowOff>
    </xdr:to>
    <xdr:sp macro="" textlink="">
      <xdr:nvSpPr>
        <xdr:cNvPr id="5121" name="Picture 5121">
          <a:extLst>
            <a:ext uri="{FF2B5EF4-FFF2-40B4-BE49-F238E27FC236}">
              <a16:creationId xmlns:a16="http://schemas.microsoft.com/office/drawing/2014/main" id="{00000000-0008-0000-1800-000001140000}"/>
            </a:ext>
          </a:extLst>
        </xdr:cNvPr>
        <xdr:cNvSpPr/>
      </xdr:nvSpPr>
      <xdr:spPr>
        <a:xfrm>
          <a:off x="768803" y="11597367"/>
          <a:ext cx="6508297"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twoCellAnchor>
    <xdr:from>
      <xdr:col>2</xdr:col>
      <xdr:colOff>29887</xdr:colOff>
      <xdr:row>9</xdr:row>
      <xdr:rowOff>84386</xdr:rowOff>
    </xdr:from>
    <xdr:to>
      <xdr:col>31</xdr:col>
      <xdr:colOff>166036</xdr:colOff>
      <xdr:row>9</xdr:row>
      <xdr:rowOff>84386</xdr:rowOff>
    </xdr:to>
    <xdr:sp macro="" textlink="">
      <xdr:nvSpPr>
        <xdr:cNvPr id="5122" name="Picture 5122">
          <a:extLst>
            <a:ext uri="{FF2B5EF4-FFF2-40B4-BE49-F238E27FC236}">
              <a16:creationId xmlns:a16="http://schemas.microsoft.com/office/drawing/2014/main" id="{00000000-0008-0000-1800-000002140000}"/>
            </a:ext>
          </a:extLst>
        </xdr:cNvPr>
        <xdr:cNvSpPr/>
      </xdr:nvSpPr>
      <xdr:spPr>
        <a:xfrm>
          <a:off x="744310" y="12647839"/>
          <a:ext cx="6508297"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twoCellAnchor>
    <xdr:from>
      <xdr:col>2</xdr:col>
      <xdr:colOff>46295</xdr:colOff>
      <xdr:row>14</xdr:row>
      <xdr:rowOff>5358</xdr:rowOff>
    </xdr:from>
    <xdr:to>
      <xdr:col>31</xdr:col>
      <xdr:colOff>182249</xdr:colOff>
      <xdr:row>14</xdr:row>
      <xdr:rowOff>5358</xdr:rowOff>
    </xdr:to>
    <xdr:sp macro="" textlink="">
      <xdr:nvSpPr>
        <xdr:cNvPr id="5123" name="Picture 5123">
          <a:extLst>
            <a:ext uri="{FF2B5EF4-FFF2-40B4-BE49-F238E27FC236}">
              <a16:creationId xmlns:a16="http://schemas.microsoft.com/office/drawing/2014/main" id="{00000000-0008-0000-1800-000003140000}"/>
            </a:ext>
          </a:extLst>
        </xdr:cNvPr>
        <xdr:cNvSpPr/>
      </xdr:nvSpPr>
      <xdr:spPr>
        <a:xfrm>
          <a:off x="760638" y="13616667"/>
          <a:ext cx="6508297"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O39"/>
  <sheetViews>
    <sheetView workbookViewId="0">
      <pane xSplit="1" ySplit="2" topLeftCell="B3" activePane="bottomRight" state="frozen"/>
      <selection pane="topRight"/>
      <selection pane="bottomLeft"/>
      <selection pane="bottomRight" activeCell="F26" sqref="F26"/>
    </sheetView>
  </sheetViews>
  <sheetFormatPr defaultColWidth="9" defaultRowHeight="14.25" customHeight="1"/>
  <cols>
    <col min="1" max="1" width="28.25" style="12" customWidth="1"/>
    <col min="2" max="2" width="23.375" style="12" customWidth="1"/>
    <col min="3" max="3" width="16.75" style="12" customWidth="1"/>
    <col min="4" max="5" width="3.625" style="10" customWidth="1"/>
    <col min="6" max="10" width="10.625" style="10" customWidth="1"/>
    <col min="11" max="11" width="14.875" style="10" customWidth="1"/>
    <col min="12" max="13" width="10.625" style="10" customWidth="1"/>
    <col min="14" max="14" width="9" style="10" customWidth="1"/>
    <col min="15" max="16384" width="9" style="10"/>
  </cols>
  <sheetData>
    <row r="1" spans="1:15" ht="63.75" customHeight="1">
      <c r="A1" s="11" t="s">
        <v>482</v>
      </c>
      <c r="B1" s="11" t="s">
        <v>485</v>
      </c>
      <c r="C1" s="11" t="s">
        <v>484</v>
      </c>
      <c r="D1" s="498" t="s">
        <v>2492</v>
      </c>
      <c r="E1" s="498"/>
      <c r="F1" s="204" t="s">
        <v>2491</v>
      </c>
      <c r="G1" s="10" t="s">
        <v>639</v>
      </c>
      <c r="H1" s="10" t="s">
        <v>3170</v>
      </c>
      <c r="I1" s="10" t="s">
        <v>117</v>
      </c>
      <c r="J1" s="10" t="s">
        <v>3085</v>
      </c>
      <c r="K1" s="10" t="s">
        <v>3037</v>
      </c>
      <c r="L1" s="10" t="s">
        <v>2843</v>
      </c>
      <c r="M1" s="10" t="s">
        <v>3030</v>
      </c>
      <c r="N1" s="10" t="s">
        <v>3086</v>
      </c>
      <c r="O1" s="10" t="s">
        <v>2842</v>
      </c>
    </row>
    <row r="2" spans="1:15" ht="14.25" customHeight="1">
      <c r="G2" s="204">
        <f t="shared" ref="G2:M2" si="0">IF(cst__output_sheetname=G1, 1, 0)</f>
        <v>0</v>
      </c>
      <c r="H2" s="204">
        <f t="shared" si="0"/>
        <v>1</v>
      </c>
      <c r="I2" s="204">
        <f>IF(cst__output_sheetname=I1, 1, 0)</f>
        <v>0</v>
      </c>
      <c r="J2" s="204">
        <f>IF(cst__output_sheetname=J1, 1, 0)</f>
        <v>0</v>
      </c>
      <c r="K2" s="204">
        <f t="shared" ref="K2" si="1">IF(cst__output_sheetname=K1, 1, 0)</f>
        <v>0</v>
      </c>
      <c r="L2" s="204">
        <f t="shared" si="0"/>
        <v>0</v>
      </c>
      <c r="M2" s="204">
        <f t="shared" si="0"/>
        <v>0</v>
      </c>
      <c r="N2" s="204">
        <f t="shared" ref="N2:O2" si="2">IF(cst__output_sheetname=N1, 1, 0)</f>
        <v>0</v>
      </c>
      <c r="O2" s="204">
        <f t="shared" si="2"/>
        <v>0</v>
      </c>
    </row>
    <row r="4" spans="1:15" ht="14.25" customHeight="1">
      <c r="A4" s="12" t="s">
        <v>2508</v>
      </c>
      <c r="B4" s="12">
        <v>-1</v>
      </c>
      <c r="C4" s="12">
        <v>-1</v>
      </c>
    </row>
    <row r="5" spans="1:15" ht="14.25" customHeight="1">
      <c r="A5" s="12" t="s">
        <v>486</v>
      </c>
      <c r="B5" s="12">
        <v>-1</v>
      </c>
      <c r="C5" s="12">
        <v>-1</v>
      </c>
    </row>
    <row r="6" spans="1:15" ht="14.25" customHeight="1">
      <c r="A6" s="12" t="s">
        <v>487</v>
      </c>
      <c r="B6" s="12">
        <v>-1</v>
      </c>
      <c r="C6" s="12">
        <v>-1</v>
      </c>
    </row>
    <row r="7" spans="1:15" ht="14.25" customHeight="1">
      <c r="A7" s="12" t="s">
        <v>1305</v>
      </c>
      <c r="B7" s="12">
        <v>-1</v>
      </c>
      <c r="C7" s="12">
        <v>-1</v>
      </c>
    </row>
    <row r="8" spans="1:15" ht="14.25" customHeight="1">
      <c r="A8" s="12" t="s">
        <v>488</v>
      </c>
      <c r="B8" s="12">
        <v>-1</v>
      </c>
      <c r="C8" s="12">
        <v>-1</v>
      </c>
    </row>
    <row r="9" spans="1:15" ht="14.25" customHeight="1">
      <c r="A9" s="12" t="s">
        <v>3039</v>
      </c>
      <c r="B9" s="12">
        <v>-1</v>
      </c>
      <c r="C9" s="12">
        <v>-1</v>
      </c>
    </row>
    <row r="10" spans="1:15" ht="14.25" customHeight="1">
      <c r="A10" s="12" t="s">
        <v>635</v>
      </c>
      <c r="B10" s="66"/>
    </row>
    <row r="12" spans="1:15" ht="14.25" customHeight="1">
      <c r="A12" s="12" t="s">
        <v>463</v>
      </c>
      <c r="B12" s="12">
        <f t="shared" ref="B12" ca="1" si="3">D12</f>
        <v>1</v>
      </c>
      <c r="D12" s="10">
        <f ca="1">IF(F12&lt;&gt;"",IF(F12=1,IF(F12+E12=2,1,-2),F12),IF(E12=0,-2,E12))</f>
        <v>1</v>
      </c>
      <c r="E12" s="10">
        <f t="shared" ref="E12:E35" si="4">IF(cst__output_sheetname="", 1, 0)+IF(AND(H12=1,H$2=1), 1, 0)+IF(AND(I12=1,I$2=1), 1, 0)+IF(AND(G12=1,G$2=1), 1, 0)+IF(AND(J12=1,J$2=1), 1, 0)+IF(AND(K12=1,K$2=1), 1, 0)+IF(AND(L12=1,L$2=1), 1, 0)+IF(AND(M12=1,M$2=1), 1, 0)+IF(AND(N12=1,N$2=1), 1, 0)+IF(AND(O12=1,O$2=1), 1, 0)</f>
        <v>1</v>
      </c>
      <c r="F12" s="204">
        <f ca="1">IF(F29=1,-2,1)</f>
        <v>1</v>
      </c>
      <c r="G12" s="10">
        <v>1</v>
      </c>
      <c r="H12" s="10">
        <v>1</v>
      </c>
      <c r="I12" s="10">
        <v>1</v>
      </c>
      <c r="J12" s="10">
        <v>1</v>
      </c>
      <c r="K12" s="10">
        <v>1</v>
      </c>
      <c r="L12" s="10">
        <v>1</v>
      </c>
      <c r="M12" s="10">
        <v>1</v>
      </c>
      <c r="N12" s="10">
        <v>1</v>
      </c>
      <c r="O12" s="10">
        <v>1</v>
      </c>
    </row>
    <row r="13" spans="1:15" ht="14.25" customHeight="1">
      <c r="B13" s="12">
        <f t="shared" ref="B13" si="5">D13</f>
        <v>-2</v>
      </c>
      <c r="D13" s="10">
        <f t="shared" ref="D13:D35" si="6">IF(F13&lt;&gt;"",IF(F13=1,IF(F13+E13=2,1,-2),F13),IF(E13=0,-2,E13))</f>
        <v>-2</v>
      </c>
      <c r="E13" s="10">
        <f t="shared" si="4"/>
        <v>0</v>
      </c>
    </row>
    <row r="14" spans="1:15" ht="14.25" customHeight="1">
      <c r="D14" s="10">
        <f t="shared" si="6"/>
        <v>-2</v>
      </c>
      <c r="E14" s="10">
        <f t="shared" si="4"/>
        <v>0</v>
      </c>
    </row>
    <row r="15" spans="1:15" ht="14.25" customHeight="1">
      <c r="A15" s="12" t="s">
        <v>117</v>
      </c>
      <c r="B15" s="12">
        <f ca="1">D15</f>
        <v>-2</v>
      </c>
      <c r="D15" s="10">
        <f ca="1">IF(F15&lt;&gt;"",IF(F15=1,IF(F15+E15=2,1,-2),F15),IF(E15=0,-2,E15))</f>
        <v>-2</v>
      </c>
      <c r="E15" s="10">
        <f t="shared" si="4"/>
        <v>0</v>
      </c>
      <c r="F15" s="204">
        <f ca="1">IF(cst_wsjob_TARGET_KIND="建築物",IF(cst_wsjob_JOB_KIND="確認申請",1,-2),-2)</f>
        <v>-2</v>
      </c>
      <c r="I15" s="10">
        <v>1</v>
      </c>
    </row>
    <row r="16" spans="1:15" ht="14.25" customHeight="1">
      <c r="A16" s="12" t="s">
        <v>639</v>
      </c>
      <c r="B16" s="12">
        <f>D16</f>
        <v>-2</v>
      </c>
      <c r="D16" s="10">
        <f t="shared" si="6"/>
        <v>-2</v>
      </c>
      <c r="E16" s="10">
        <f t="shared" si="4"/>
        <v>0</v>
      </c>
      <c r="G16" s="10">
        <v>1</v>
      </c>
    </row>
    <row r="17" spans="1:15" ht="14.25" customHeight="1">
      <c r="A17" s="12" t="s">
        <v>3170</v>
      </c>
      <c r="B17" s="12">
        <f ca="1">D17</f>
        <v>1</v>
      </c>
      <c r="D17" s="10">
        <f t="shared" ref="D17" ca="1" si="7">IF(F17&lt;&gt;"",IF(F17=1,IF(F17+E17=2,1,-2),F17),IF(E17=0,-2,E17))</f>
        <v>1</v>
      </c>
      <c r="E17" s="10">
        <f t="shared" si="4"/>
        <v>1</v>
      </c>
      <c r="F17" s="204">
        <f ca="1">IF(OR(cst_wsjob_JOB_KIND="その他申請",cst_wsjob_JOB_KIND="中間検査",cst_wsjob_JOB_KIND="完了検査"),1,-2)</f>
        <v>1</v>
      </c>
      <c r="H17" s="10">
        <v>1</v>
      </c>
    </row>
    <row r="18" spans="1:15" ht="14.25" customHeight="1">
      <c r="A18" s="12" t="s">
        <v>3085</v>
      </c>
      <c r="B18" s="12">
        <f ca="1">D18</f>
        <v>-2</v>
      </c>
      <c r="D18" s="10">
        <f t="shared" ref="D18" ca="1" si="8">IF(F18&lt;&gt;"",IF(F18=1,IF(F18+E18=2,1,-2),F18),IF(E18=0,-2,E18))</f>
        <v>-2</v>
      </c>
      <c r="E18" s="10">
        <f t="shared" si="4"/>
        <v>0</v>
      </c>
      <c r="F18" s="204">
        <f ca="1">IF(cst_wsjob_TARGET_KIND="建築物",IF(OR(cst_wsjob_JOB_KIND="確認申請",cst_wsjob_JOB_KIND="計画変更"),1,-2),-2)</f>
        <v>-2</v>
      </c>
      <c r="J18" s="10">
        <v>1</v>
      </c>
    </row>
    <row r="19" spans="1:15" ht="14.25" customHeight="1">
      <c r="A19" s="12" t="s">
        <v>3037</v>
      </c>
      <c r="B19" s="12">
        <f>D19</f>
        <v>-2</v>
      </c>
      <c r="D19" s="10">
        <f t="shared" ref="D19" si="9">IF(F19&lt;&gt;"",IF(F19=1,IF(F19+E19=2,1,-2),F19),IF(E19=0,-2,E19))</f>
        <v>-2</v>
      </c>
      <c r="E19" s="10">
        <f t="shared" si="4"/>
        <v>0</v>
      </c>
      <c r="F19" s="204">
        <f>IF(cst_wskakunin_BUILD_KEN__ken="静岡県",IF(cst_wsjob_TARGET_KIND="建築物",IF(OR(cst_wsjob_JOB_KIND="確認申請",cst_wsjob_JOB_KIND="計画変更"),1,-2),-2),-2)</f>
        <v>-2</v>
      </c>
      <c r="K19" s="10">
        <v>1</v>
      </c>
    </row>
    <row r="20" spans="1:15" ht="14.25" customHeight="1">
      <c r="A20" s="12" t="s">
        <v>2842</v>
      </c>
      <c r="B20" s="12">
        <f t="shared" ref="B20:B29" ca="1" si="10">D20</f>
        <v>-2</v>
      </c>
      <c r="D20" s="10">
        <f t="shared" ca="1" si="6"/>
        <v>-2</v>
      </c>
      <c r="E20" s="10">
        <f t="shared" si="4"/>
        <v>0</v>
      </c>
      <c r="F20" s="204">
        <f ca="1">IF(OR(cst_wsjob_JOB_KIND="確認申請",cst_wsjob_JOB_KIND="計画変更"),1,-2)</f>
        <v>-2</v>
      </c>
      <c r="O20" s="10">
        <v>1</v>
      </c>
    </row>
    <row r="21" spans="1:15" ht="14.25" customHeight="1">
      <c r="A21" s="12" t="s">
        <v>2843</v>
      </c>
      <c r="B21" s="12">
        <f t="shared" ca="1" si="10"/>
        <v>-2</v>
      </c>
      <c r="D21" s="10">
        <f t="shared" ca="1" si="6"/>
        <v>-2</v>
      </c>
      <c r="E21" s="10">
        <f t="shared" si="4"/>
        <v>0</v>
      </c>
      <c r="F21" s="204">
        <f ca="1">IF(OR(cst_wsjob_JOB_KIND="確認申請",cst_wsjob_JOB_KIND="計画変更"),1,-2)</f>
        <v>-2</v>
      </c>
      <c r="L21" s="10">
        <v>1</v>
      </c>
    </row>
    <row r="22" spans="1:15" ht="14.25" customHeight="1">
      <c r="A22" s="12" t="s">
        <v>3030</v>
      </c>
      <c r="B22" s="12">
        <f t="shared" ca="1" si="10"/>
        <v>-2</v>
      </c>
      <c r="D22" s="10">
        <f t="shared" ca="1" si="6"/>
        <v>-2</v>
      </c>
      <c r="E22" s="10">
        <f t="shared" si="4"/>
        <v>0</v>
      </c>
      <c r="F22" s="204">
        <f ca="1">IF(OR(cst_wsjob_JOB_KIND="中間検査",cst_wsjob_JOB_KIND="完了検査"),1,-2)</f>
        <v>1</v>
      </c>
      <c r="M22" s="10">
        <v>1</v>
      </c>
    </row>
    <row r="23" spans="1:15" ht="14.25" customHeight="1">
      <c r="A23" s="12" t="s">
        <v>2844</v>
      </c>
      <c r="B23" s="12">
        <f t="shared" ca="1" si="10"/>
        <v>-2</v>
      </c>
      <c r="D23" s="10">
        <f t="shared" ca="1" si="6"/>
        <v>-2</v>
      </c>
      <c r="E23" s="10">
        <f t="shared" si="4"/>
        <v>0</v>
      </c>
      <c r="F23" s="204">
        <f ca="1">IF(OR(cst_wsjob_JOB_KIND="確認申請",cst_wsjob_JOB_KIND="計画変更"),1,-2)</f>
        <v>-2</v>
      </c>
      <c r="N23" s="10">
        <v>1</v>
      </c>
    </row>
    <row r="24" spans="1:15" ht="14.25" customHeight="1">
      <c r="A24" s="12" t="s">
        <v>2845</v>
      </c>
      <c r="B24" s="12">
        <f t="shared" ca="1" si="10"/>
        <v>-2</v>
      </c>
      <c r="D24" s="10">
        <f t="shared" ca="1" si="6"/>
        <v>-2</v>
      </c>
      <c r="E24" s="10">
        <f t="shared" si="4"/>
        <v>0</v>
      </c>
      <c r="F24" s="204">
        <f ca="1">IF(cst_wsjob_JOB_KIND="中間検査",1,-2)</f>
        <v>1</v>
      </c>
      <c r="N24" s="10">
        <v>1</v>
      </c>
    </row>
    <row r="25" spans="1:15" ht="14.25" customHeight="1">
      <c r="A25" s="12" t="s">
        <v>2846</v>
      </c>
      <c r="B25" s="12">
        <f t="shared" ca="1" si="10"/>
        <v>-2</v>
      </c>
      <c r="D25" s="10">
        <f t="shared" ca="1" si="6"/>
        <v>-2</v>
      </c>
      <c r="E25" s="10">
        <f t="shared" si="4"/>
        <v>0</v>
      </c>
      <c r="F25" s="204">
        <f ca="1">IF(cst_wsjob_JOB_KIND="完了検査",1,-2)</f>
        <v>-2</v>
      </c>
      <c r="N25" s="10">
        <v>1</v>
      </c>
    </row>
    <row r="26" spans="1:15" ht="14.25" customHeight="1">
      <c r="A26" s="12" t="s">
        <v>3191</v>
      </c>
      <c r="B26" s="12">
        <f ca="1">D26</f>
        <v>-2</v>
      </c>
      <c r="D26" s="10">
        <f t="shared" ref="D26" ca="1" si="11">IF(F26&lt;&gt;"",IF(F26=1,IF(F26+E26=2,1,-2),F26),IF(E26=0,-2,E26))</f>
        <v>-2</v>
      </c>
      <c r="E26" s="10">
        <f t="shared" si="4"/>
        <v>0</v>
      </c>
      <c r="F26" s="204">
        <f ca="1">IF(AND(cst_wsjob_JOB_KIND="その他申請"),1,-2)</f>
        <v>-2</v>
      </c>
      <c r="N26" s="10">
        <v>1</v>
      </c>
    </row>
    <row r="27" spans="1:15" ht="14.25" customHeight="1">
      <c r="A27" s="12" t="s">
        <v>3241</v>
      </c>
      <c r="B27" s="12">
        <f ca="1">D27</f>
        <v>-2</v>
      </c>
      <c r="D27" s="10">
        <f t="shared" ref="D27" ca="1" si="12">IF(F27&lt;&gt;"",IF(F27=1,IF(F27+E27=2,1,-2),F27),IF(E27=0,-2,E27))</f>
        <v>-2</v>
      </c>
      <c r="E27" s="10">
        <f t="shared" ref="E27" si="13">IF(cst__output_sheetname="", 1, 0)+IF(AND(H27=1,H$2=1), 1, 0)+IF(AND(I27=1,I$2=1), 1, 0)+IF(AND(G27=1,G$2=1), 1, 0)+IF(AND(J27=1,J$2=1), 1, 0)+IF(AND(K27=1,K$2=1), 1, 0)+IF(AND(L27=1,L$2=1), 1, 0)+IF(AND(M27=1,M$2=1), 1, 0)+IF(AND(N27=1,N$2=1), 1, 0)+IF(AND(O27=1,O$2=1), 1, 0)</f>
        <v>0</v>
      </c>
      <c r="F27" s="487">
        <f ca="1">IF(F29=1,-2,IF(cst_wskakunin_owner2__space&lt;&gt;"",1,-2))</f>
        <v>-2</v>
      </c>
      <c r="I27" s="10">
        <v>1</v>
      </c>
    </row>
    <row r="28" spans="1:15" ht="14.25" customHeight="1">
      <c r="A28" s="12" t="s">
        <v>3208</v>
      </c>
      <c r="B28" s="12">
        <f ca="1">D28</f>
        <v>-2</v>
      </c>
      <c r="D28" s="10">
        <f t="shared" ref="D28" ca="1" si="14">IF(F28&lt;&gt;"",IF(F28=1,IF(F28+E28=2,1,-2),F28),IF(E28=0,-2,E28))</f>
        <v>-2</v>
      </c>
      <c r="E28" s="10">
        <f t="shared" ref="E28" si="15">IF(cst__output_sheetname="", 1, 0)+IF(AND(H28=1,H$2=1), 1, 0)+IF(AND(I28=1,I$2=1), 1, 0)+IF(AND(G28=1,G$2=1), 1, 0)+IF(AND(J28=1,J$2=1), 1, 0)+IF(AND(K28=1,K$2=1), 1, 0)+IF(AND(L28=1,L$2=1), 1, 0)+IF(AND(M28=1,M$2=1), 1, 0)+IF(AND(N28=1,N$2=1), 1, 0)+IF(AND(O28=1,O$2=1), 1, 0)</f>
        <v>0</v>
      </c>
      <c r="F28" s="487">
        <f ca="1">IF(F29=1,-2,IF(cst_wskakunin_owner2__space&lt;&gt;"",1,-2))</f>
        <v>-2</v>
      </c>
      <c r="J28" s="10">
        <v>1</v>
      </c>
      <c r="L28" s="10">
        <v>1</v>
      </c>
      <c r="M28" s="10">
        <v>1</v>
      </c>
      <c r="N28" s="10">
        <v>1</v>
      </c>
      <c r="O28" s="10">
        <v>1</v>
      </c>
    </row>
    <row r="29" spans="1:15" ht="14.25" customHeight="1">
      <c r="A29" s="12" t="s">
        <v>3166</v>
      </c>
      <c r="B29" s="12">
        <f t="shared" ca="1" si="10"/>
        <v>-2</v>
      </c>
      <c r="D29" s="10">
        <f t="shared" ref="D29" ca="1" si="16">IF(F29&lt;&gt;"",IF(F29=1,IF(F29+E29=2,1,-2),F29),IF(E29=0,-2,E29))</f>
        <v>-2</v>
      </c>
      <c r="E29" s="10">
        <f t="shared" si="4"/>
        <v>1</v>
      </c>
      <c r="F29" s="468">
        <f ca="1">IF(COUNTIF(B15:B26,1)&gt;0,-2,1)</f>
        <v>-2</v>
      </c>
      <c r="G29" s="10">
        <v>1</v>
      </c>
      <c r="H29" s="10">
        <v>1</v>
      </c>
      <c r="I29" s="10">
        <v>1</v>
      </c>
      <c r="J29" s="10">
        <v>1</v>
      </c>
      <c r="K29" s="10">
        <v>1</v>
      </c>
      <c r="L29" s="10">
        <v>1</v>
      </c>
      <c r="M29" s="10">
        <v>1</v>
      </c>
      <c r="N29" s="10">
        <v>1</v>
      </c>
      <c r="O29" s="10">
        <v>1</v>
      </c>
    </row>
    <row r="30" spans="1:15" ht="14.25" customHeight="1">
      <c r="A30" s="12" t="s">
        <v>591</v>
      </c>
      <c r="B30" s="12">
        <f t="shared" ref="B30:B35" si="17">D30</f>
        <v>-2</v>
      </c>
      <c r="D30" s="10">
        <f t="shared" si="6"/>
        <v>-2</v>
      </c>
      <c r="E30" s="10">
        <f t="shared" si="4"/>
        <v>0</v>
      </c>
      <c r="F30" s="10">
        <v>-2</v>
      </c>
    </row>
    <row r="31" spans="1:15" ht="14.25" customHeight="1">
      <c r="A31" s="12" t="s">
        <v>592</v>
      </c>
      <c r="B31" s="12">
        <f t="shared" si="17"/>
        <v>-2</v>
      </c>
      <c r="D31" s="10">
        <f t="shared" si="6"/>
        <v>-2</v>
      </c>
      <c r="E31" s="10">
        <f t="shared" si="4"/>
        <v>0</v>
      </c>
      <c r="F31" s="10">
        <v>-2</v>
      </c>
    </row>
    <row r="32" spans="1:15" ht="14.25" customHeight="1">
      <c r="A32" s="12" t="s">
        <v>2930</v>
      </c>
      <c r="B32" s="12">
        <f t="shared" ref="B32" si="18">D32</f>
        <v>-2</v>
      </c>
      <c r="D32" s="10">
        <f t="shared" ref="D32" si="19">IF(F32&lt;&gt;"",IF(F32=1,IF(F32+E32=2,1,-2),F32),IF(E32=0,-2,E32))</f>
        <v>-2</v>
      </c>
      <c r="E32" s="10">
        <f t="shared" si="4"/>
        <v>0</v>
      </c>
      <c r="F32" s="10">
        <v>-2</v>
      </c>
    </row>
    <row r="33" spans="1:5" ht="14.25" customHeight="1">
      <c r="B33" s="12">
        <f t="shared" si="17"/>
        <v>-2</v>
      </c>
      <c r="D33" s="10">
        <f t="shared" si="6"/>
        <v>-2</v>
      </c>
      <c r="E33" s="10">
        <f t="shared" si="4"/>
        <v>0</v>
      </c>
    </row>
    <row r="34" spans="1:5" ht="14.25" customHeight="1">
      <c r="B34" s="12">
        <f t="shared" ref="B34" si="20">D34</f>
        <v>-2</v>
      </c>
      <c r="D34" s="10">
        <f t="shared" si="6"/>
        <v>-2</v>
      </c>
      <c r="E34" s="10">
        <f t="shared" si="4"/>
        <v>0</v>
      </c>
    </row>
    <row r="35" spans="1:5" ht="14.25" customHeight="1">
      <c r="B35" s="12">
        <f t="shared" si="17"/>
        <v>-2</v>
      </c>
      <c r="D35" s="10">
        <f t="shared" si="6"/>
        <v>-2</v>
      </c>
      <c r="E35" s="10">
        <f t="shared" si="4"/>
        <v>0</v>
      </c>
    </row>
    <row r="36" spans="1:5" ht="14.25" customHeight="1">
      <c r="A36" s="65" t="s">
        <v>489</v>
      </c>
      <c r="B36" s="12">
        <v>0</v>
      </c>
    </row>
    <row r="38" spans="1:5" ht="14.25" customHeight="1">
      <c r="A38" s="13" t="s">
        <v>483</v>
      </c>
    </row>
    <row r="39" spans="1:5" ht="14.25" customHeight="1">
      <c r="A39" s="13" t="s">
        <v>490</v>
      </c>
    </row>
  </sheetData>
  <mergeCells count="1">
    <mergeCell ref="D1:E1"/>
  </mergeCells>
  <phoneticPr fontId="57"/>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E1:G36"/>
  <sheetViews>
    <sheetView topLeftCell="A10" workbookViewId="0">
      <selection activeCell="G37" sqref="G37"/>
    </sheetView>
  </sheetViews>
  <sheetFormatPr defaultColWidth="9" defaultRowHeight="18.75" customHeight="1"/>
  <cols>
    <col min="1" max="3" width="2.75" style="14" customWidth="1"/>
    <col min="4" max="4" width="4.125" style="14" customWidth="1"/>
    <col min="5" max="5" width="23.5" style="206" customWidth="1"/>
    <col min="6" max="6" width="9" style="14" customWidth="1"/>
    <col min="7" max="7" width="50.625" style="14" customWidth="1"/>
    <col min="8" max="8" width="9" style="14" customWidth="1"/>
    <col min="9" max="16384" width="9" style="14"/>
  </cols>
  <sheetData>
    <row r="1" spans="5:7" ht="18.75" customHeight="1">
      <c r="E1" s="206" t="s">
        <v>2504</v>
      </c>
      <c r="G1" s="120" t="s">
        <v>2505</v>
      </c>
    </row>
    <row r="2" spans="5:7" ht="18.75" customHeight="1">
      <c r="E2" s="206">
        <v>43699</v>
      </c>
      <c r="F2" s="14" t="s">
        <v>2506</v>
      </c>
      <c r="G2" s="14" t="s">
        <v>2507</v>
      </c>
    </row>
    <row r="3" spans="5:7" ht="18.75" customHeight="1">
      <c r="G3" s="14" t="s">
        <v>2549</v>
      </c>
    </row>
    <row r="4" spans="5:7" ht="18.75" customHeight="1">
      <c r="E4" s="206">
        <v>43700</v>
      </c>
      <c r="F4" s="14" t="s">
        <v>2506</v>
      </c>
      <c r="G4" s="14" t="s">
        <v>2568</v>
      </c>
    </row>
    <row r="5" spans="5:7" ht="18.75" customHeight="1">
      <c r="E5" s="206">
        <v>43703</v>
      </c>
      <c r="F5" s="14" t="s">
        <v>2506</v>
      </c>
      <c r="G5" s="14" t="s">
        <v>2569</v>
      </c>
    </row>
    <row r="6" spans="5:7" ht="18.75" customHeight="1">
      <c r="E6" s="206">
        <v>43710</v>
      </c>
      <c r="F6" s="14" t="s">
        <v>2506</v>
      </c>
      <c r="G6" s="14" t="s">
        <v>2601</v>
      </c>
    </row>
    <row r="7" spans="5:7" ht="18.75" customHeight="1">
      <c r="E7" s="206">
        <v>43711</v>
      </c>
      <c r="F7" s="14" t="s">
        <v>2506</v>
      </c>
      <c r="G7" s="14" t="s">
        <v>2604</v>
      </c>
    </row>
    <row r="8" spans="5:7" ht="18.75" customHeight="1">
      <c r="E8" s="206">
        <v>43712</v>
      </c>
      <c r="F8" s="14" t="s">
        <v>2506</v>
      </c>
      <c r="G8" s="14" t="s">
        <v>2653</v>
      </c>
    </row>
    <row r="9" spans="5:7" ht="18.75" customHeight="1">
      <c r="E9" s="206">
        <v>43734</v>
      </c>
      <c r="F9" s="14" t="s">
        <v>2655</v>
      </c>
      <c r="G9" s="14" t="s">
        <v>2654</v>
      </c>
    </row>
    <row r="10" spans="5:7" ht="18.75" customHeight="1">
      <c r="E10" s="206">
        <v>43822</v>
      </c>
      <c r="F10" s="14" t="s">
        <v>2506</v>
      </c>
      <c r="G10" s="14" t="s">
        <v>2656</v>
      </c>
    </row>
    <row r="12" spans="5:7" ht="18.75" customHeight="1">
      <c r="E12" s="206">
        <v>43959</v>
      </c>
      <c r="F12" s="14" t="s">
        <v>2847</v>
      </c>
      <c r="G12" s="14" t="s">
        <v>2848</v>
      </c>
    </row>
    <row r="13" spans="5:7" ht="18.75" customHeight="1">
      <c r="E13" s="206">
        <v>43970</v>
      </c>
      <c r="F13" s="14" t="s">
        <v>2506</v>
      </c>
      <c r="G13" s="14" t="s">
        <v>2849</v>
      </c>
    </row>
    <row r="14" spans="5:7" ht="18.75" customHeight="1">
      <c r="E14" s="206">
        <v>43991</v>
      </c>
      <c r="F14" s="14" t="s">
        <v>2847</v>
      </c>
      <c r="G14" s="14" t="s">
        <v>2850</v>
      </c>
    </row>
    <row r="15" spans="5:7" ht="18.75" customHeight="1">
      <c r="G15" s="14" t="s">
        <v>2849</v>
      </c>
    </row>
    <row r="16" spans="5:7" ht="18.75" customHeight="1">
      <c r="E16" s="206">
        <v>44183</v>
      </c>
      <c r="F16" s="14" t="s">
        <v>2655</v>
      </c>
      <c r="G16" s="14" t="s">
        <v>2851</v>
      </c>
    </row>
    <row r="17" spans="5:7" ht="18.75" customHeight="1">
      <c r="E17" s="206">
        <v>44293</v>
      </c>
      <c r="F17" s="14" t="s">
        <v>2853</v>
      </c>
      <c r="G17" s="14" t="s">
        <v>2854</v>
      </c>
    </row>
    <row r="18" spans="5:7" ht="18.75" customHeight="1">
      <c r="E18" s="206">
        <v>44376</v>
      </c>
      <c r="F18" s="14" t="s">
        <v>2847</v>
      </c>
      <c r="G18" s="14" t="s">
        <v>2873</v>
      </c>
    </row>
    <row r="19" spans="5:7" ht="18.75" customHeight="1">
      <c r="E19" s="206">
        <v>44382</v>
      </c>
      <c r="F19" s="14" t="s">
        <v>2853</v>
      </c>
      <c r="G19" s="14" t="s">
        <v>3038</v>
      </c>
    </row>
    <row r="20" spans="5:7" ht="18.75" customHeight="1">
      <c r="E20" s="206">
        <v>44636</v>
      </c>
      <c r="F20" s="14" t="s">
        <v>2655</v>
      </c>
      <c r="G20" s="14" t="s">
        <v>3083</v>
      </c>
    </row>
    <row r="21" spans="5:7" ht="18.75" customHeight="1">
      <c r="E21" s="206">
        <v>44643</v>
      </c>
      <c r="F21" s="14" t="s">
        <v>2853</v>
      </c>
      <c r="G21" s="14" t="s">
        <v>3084</v>
      </c>
    </row>
    <row r="22" spans="5:7" ht="18.75" customHeight="1">
      <c r="E22" s="206">
        <v>44719</v>
      </c>
      <c r="F22" s="14" t="s">
        <v>2847</v>
      </c>
      <c r="G22" s="14" t="s">
        <v>3087</v>
      </c>
    </row>
    <row r="23" spans="5:7" ht="18.75" customHeight="1">
      <c r="E23" s="206">
        <v>44720</v>
      </c>
      <c r="F23" s="14" t="s">
        <v>2847</v>
      </c>
      <c r="G23" s="14" t="s">
        <v>3167</v>
      </c>
    </row>
    <row r="24" spans="5:7" ht="18.75" customHeight="1">
      <c r="E24" s="206">
        <v>44721</v>
      </c>
      <c r="F24" s="14" t="s">
        <v>2847</v>
      </c>
      <c r="G24" s="14" t="s">
        <v>3169</v>
      </c>
    </row>
    <row r="25" spans="5:7" ht="18.75" customHeight="1">
      <c r="E25" s="206">
        <v>44729</v>
      </c>
      <c r="F25" s="14" t="s">
        <v>2847</v>
      </c>
      <c r="G25" s="14" t="s">
        <v>3192</v>
      </c>
    </row>
    <row r="26" spans="5:7" ht="18.75" customHeight="1">
      <c r="E26" s="206">
        <v>44733</v>
      </c>
      <c r="F26" s="14" t="s">
        <v>2847</v>
      </c>
      <c r="G26" s="14" t="s">
        <v>3193</v>
      </c>
    </row>
    <row r="27" spans="5:7" ht="18.75" customHeight="1">
      <c r="E27" s="206">
        <v>44743</v>
      </c>
      <c r="F27" s="14" t="s">
        <v>2847</v>
      </c>
      <c r="G27" s="14" t="s">
        <v>3200</v>
      </c>
    </row>
    <row r="28" spans="5:7" ht="18.75" customHeight="1">
      <c r="E28" s="206">
        <v>44747</v>
      </c>
      <c r="F28" s="14" t="s">
        <v>2847</v>
      </c>
      <c r="G28" s="14" t="s">
        <v>3213</v>
      </c>
    </row>
    <row r="29" spans="5:7" ht="18.75" customHeight="1">
      <c r="E29" s="206">
        <v>44748</v>
      </c>
      <c r="F29" s="14" t="s">
        <v>2847</v>
      </c>
      <c r="G29" s="14" t="s">
        <v>3217</v>
      </c>
    </row>
    <row r="30" spans="5:7" ht="18.75" customHeight="1">
      <c r="E30" s="206">
        <v>44768</v>
      </c>
      <c r="F30" s="14" t="s">
        <v>2847</v>
      </c>
      <c r="G30" s="14" t="s">
        <v>3237</v>
      </c>
    </row>
    <row r="31" spans="5:7" ht="18.75" customHeight="1">
      <c r="E31" s="206">
        <v>44782</v>
      </c>
      <c r="F31" s="14" t="s">
        <v>2847</v>
      </c>
      <c r="G31" s="14" t="s">
        <v>3242</v>
      </c>
    </row>
    <row r="32" spans="5:7" ht="18.75" customHeight="1">
      <c r="E32" s="206">
        <v>44783</v>
      </c>
      <c r="F32" s="14" t="s">
        <v>2847</v>
      </c>
      <c r="G32" s="14" t="s">
        <v>3254</v>
      </c>
    </row>
    <row r="33" spans="5:7" ht="18.75" customHeight="1">
      <c r="E33" s="206">
        <v>44804</v>
      </c>
      <c r="F33" s="14" t="s">
        <v>2847</v>
      </c>
      <c r="G33" s="14" t="s">
        <v>3255</v>
      </c>
    </row>
    <row r="34" spans="5:7" ht="18.75" customHeight="1">
      <c r="E34" s="206">
        <v>44806</v>
      </c>
      <c r="F34" s="14" t="s">
        <v>2847</v>
      </c>
      <c r="G34" s="14" t="s">
        <v>3256</v>
      </c>
    </row>
    <row r="35" spans="5:7" ht="18.75" customHeight="1">
      <c r="E35" s="206">
        <v>44810</v>
      </c>
      <c r="F35" s="14" t="s">
        <v>2847</v>
      </c>
      <c r="G35" s="14" t="s">
        <v>3257</v>
      </c>
    </row>
    <row r="36" spans="5:7" ht="18.75" customHeight="1">
      <c r="E36" s="206">
        <v>44895</v>
      </c>
      <c r="F36" s="14" t="s">
        <v>2847</v>
      </c>
      <c r="G36" s="14" t="s">
        <v>3259</v>
      </c>
    </row>
  </sheetData>
  <phoneticPr fontId="5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23"/>
  <sheetViews>
    <sheetView workbookViewId="0">
      <selection activeCell="G18" sqref="G18"/>
    </sheetView>
  </sheetViews>
  <sheetFormatPr defaultColWidth="9" defaultRowHeight="13.5"/>
  <cols>
    <col min="1" max="1" width="16.125" customWidth="1"/>
    <col min="4" max="4" width="16.875" style="319" customWidth="1"/>
    <col min="5" max="5" width="14.75" customWidth="1"/>
    <col min="6" max="7" width="24.875" customWidth="1"/>
    <col min="8" max="8" width="35.25" customWidth="1"/>
  </cols>
  <sheetData>
    <row r="1" spans="1:8">
      <c r="A1" s="14" t="s">
        <v>2855</v>
      </c>
      <c r="B1" s="14"/>
      <c r="C1" s="14"/>
      <c r="D1" s="305"/>
      <c r="E1" s="14"/>
      <c r="F1" s="14"/>
      <c r="G1" s="14"/>
    </row>
    <row r="2" spans="1:8">
      <c r="A2" s="306" t="s">
        <v>2856</v>
      </c>
      <c r="B2" s="306"/>
      <c r="C2" s="306" t="s">
        <v>2857</v>
      </c>
      <c r="D2" s="307" t="s">
        <v>2858</v>
      </c>
      <c r="E2" s="306" t="s">
        <v>2859</v>
      </c>
      <c r="F2" s="306" t="s">
        <v>120</v>
      </c>
      <c r="G2" s="306" t="s">
        <v>2860</v>
      </c>
      <c r="H2" s="192" t="s">
        <v>2861</v>
      </c>
    </row>
    <row r="3" spans="1:8">
      <c r="A3" s="306" t="s">
        <v>2862</v>
      </c>
      <c r="B3" s="306"/>
      <c r="C3" s="306">
        <v>1</v>
      </c>
      <c r="D3" s="307">
        <v>23132</v>
      </c>
      <c r="E3" s="306"/>
      <c r="F3" s="308" t="s">
        <v>2852</v>
      </c>
      <c r="G3" s="306" t="s">
        <v>2863</v>
      </c>
      <c r="H3" s="192" t="s">
        <v>2852</v>
      </c>
    </row>
    <row r="4" spans="1:8">
      <c r="A4" s="306"/>
      <c r="B4" s="306"/>
      <c r="C4" s="306">
        <v>2</v>
      </c>
      <c r="D4" s="307">
        <v>44376</v>
      </c>
      <c r="E4" s="306"/>
      <c r="F4" s="308" t="s">
        <v>2852</v>
      </c>
      <c r="G4" s="306" t="s">
        <v>2864</v>
      </c>
      <c r="H4" s="192" t="s">
        <v>2852</v>
      </c>
    </row>
    <row r="5" spans="1:8">
      <c r="A5" s="306"/>
      <c r="B5" s="306"/>
      <c r="C5" s="306">
        <v>3</v>
      </c>
      <c r="D5" s="307"/>
      <c r="E5" s="306"/>
      <c r="F5" s="308"/>
      <c r="G5" s="306"/>
    </row>
    <row r="6" spans="1:8">
      <c r="A6" s="306"/>
      <c r="B6" s="306"/>
      <c r="C6" s="306">
        <v>4</v>
      </c>
      <c r="D6" s="307"/>
      <c r="E6" s="306"/>
      <c r="F6" s="308"/>
      <c r="G6" s="306"/>
    </row>
    <row r="7" spans="1:8">
      <c r="A7" s="306"/>
      <c r="B7" s="306"/>
      <c r="C7" s="306">
        <v>5</v>
      </c>
      <c r="D7" s="307"/>
      <c r="E7" s="306"/>
      <c r="F7" s="308"/>
      <c r="G7" s="306"/>
    </row>
    <row r="8" spans="1:8">
      <c r="A8" s="306"/>
      <c r="B8" s="306"/>
      <c r="C8" s="306">
        <v>6</v>
      </c>
      <c r="D8" s="307"/>
      <c r="E8" s="306"/>
      <c r="F8" s="308"/>
      <c r="G8" s="306"/>
    </row>
    <row r="9" spans="1:8">
      <c r="A9" s="306"/>
      <c r="B9" s="306"/>
      <c r="C9" s="306">
        <v>7</v>
      </c>
      <c r="D9" s="307"/>
      <c r="E9" s="306"/>
      <c r="F9" s="308"/>
      <c r="G9" s="306"/>
    </row>
    <row r="10" spans="1:8">
      <c r="A10" s="306"/>
      <c r="B10" s="306"/>
      <c r="C10" s="306">
        <v>8</v>
      </c>
      <c r="D10" s="307"/>
      <c r="E10" s="306"/>
      <c r="F10" s="308"/>
      <c r="G10" s="306"/>
    </row>
    <row r="11" spans="1:8">
      <c r="A11" s="306"/>
      <c r="B11" s="306"/>
      <c r="C11" s="306">
        <v>9</v>
      </c>
      <c r="D11" s="307"/>
      <c r="E11" s="306"/>
      <c r="F11" s="308"/>
      <c r="G11" s="306"/>
    </row>
    <row r="12" spans="1:8">
      <c r="A12" s="306"/>
      <c r="B12" s="306"/>
      <c r="C12" s="306">
        <v>10</v>
      </c>
      <c r="D12" s="307"/>
      <c r="E12" s="306"/>
      <c r="F12" s="308"/>
      <c r="G12" s="306"/>
    </row>
    <row r="16" spans="1:8">
      <c r="A16" s="309" t="s">
        <v>2865</v>
      </c>
      <c r="B16" s="310"/>
      <c r="C16" s="310"/>
      <c r="D16" s="311"/>
      <c r="E16" s="309" t="s">
        <v>2866</v>
      </c>
      <c r="F16" s="310"/>
      <c r="G16" s="312"/>
    </row>
    <row r="17" spans="1:8">
      <c r="A17" s="191" t="s">
        <v>2867</v>
      </c>
      <c r="B17" s="313" t="s">
        <v>2868</v>
      </c>
      <c r="C17" s="191" t="s">
        <v>2869</v>
      </c>
      <c r="D17" s="314" t="s">
        <v>2504</v>
      </c>
      <c r="E17" s="191" t="s">
        <v>2859</v>
      </c>
      <c r="F17" s="191" t="s">
        <v>120</v>
      </c>
      <c r="G17" s="191" t="s">
        <v>2860</v>
      </c>
      <c r="H17" s="496" t="s">
        <v>2870</v>
      </c>
    </row>
    <row r="18" spans="1:8">
      <c r="A18" s="315" t="s">
        <v>481</v>
      </c>
      <c r="B18" s="315">
        <f ca="1">C18</f>
        <v>2</v>
      </c>
      <c r="C18" s="315">
        <f ca="1">IF(ISNA(MATCH(D18,$D$3:$D$12,0)),MATCH(D18,$D$3:$D$12,1),MATCH(D18,$D$3:$D$12,0))</f>
        <v>2</v>
      </c>
      <c r="D18" s="316">
        <f ca="1">IF(wskakunin_SHINSEI_DATE="",TODAY(),wskakunin_SHINSEI_DATE)</f>
        <v>45023</v>
      </c>
      <c r="E18" s="317" t="str">
        <f ca="1">IF(OFFSET(dAName!$E$2,dAName!B18,0,1,1)="","",OFFSET(dAName!$E$2,dAName!B18,0,1,1))</f>
        <v/>
      </c>
      <c r="F18" s="317" t="str">
        <f ca="1">IF(OFFSET(dAName!$F$2,dAName!$B18,0,1,1)="","",OFFSET(dAName!$F$2,dAName!$B18,0,1,1))</f>
        <v>一般財団法人静岡県建築住宅まちづくりセンター</v>
      </c>
      <c r="G18" s="317" t="str">
        <f ca="1">IF(OFFSET(dAName!$G$2,dAName!$B18,0,1,1)="","",OFFSET(dAName!$G$2,dAName!$B18,0,1,1))</f>
        <v>理事長 　柳　敏幸</v>
      </c>
      <c r="H18" s="318" t="str">
        <f ca="1">IF(OFFSET(dAName!$H$2,dAName!$B18,0,1,1)="","",OFFSET(dAName!$H$2,dAName!$B18,0,1,1))</f>
        <v>一般財団法人静岡県建築住宅まちづくりセンター</v>
      </c>
    </row>
    <row r="19" spans="1:8">
      <c r="A19" s="315"/>
      <c r="B19" s="315"/>
      <c r="C19" s="315"/>
      <c r="D19" s="316"/>
      <c r="E19" s="315"/>
      <c r="F19" s="315" t="s">
        <v>2871</v>
      </c>
      <c r="G19" s="315" t="s">
        <v>2872</v>
      </c>
    </row>
    <row r="23" spans="1:8">
      <c r="E23" s="320"/>
    </row>
  </sheetData>
  <phoneticPr fontId="5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6:V1335"/>
  <sheetViews>
    <sheetView zoomScaleNormal="100" workbookViewId="0">
      <pane xSplit="2" ySplit="6" topLeftCell="C16" activePane="bottomRight" state="frozen"/>
      <selection pane="topRight"/>
      <selection pane="bottomLeft"/>
      <selection pane="bottomRight" activeCell="F36" sqref="F36"/>
    </sheetView>
  </sheetViews>
  <sheetFormatPr defaultColWidth="9" defaultRowHeight="15" customHeight="1"/>
  <cols>
    <col min="1" max="1" width="15.625" style="14" customWidth="1"/>
    <col min="2" max="2" width="31.375" style="14" customWidth="1"/>
    <col min="3" max="3" width="37.875" style="14" customWidth="1"/>
    <col min="4" max="4" width="15.625" style="14" customWidth="1"/>
    <col min="5" max="5" width="42.25" style="14" customWidth="1"/>
    <col min="6" max="6" width="27.625" style="14" customWidth="1"/>
    <col min="7" max="7" width="35.625" style="14" customWidth="1"/>
    <col min="8" max="8" width="9" style="14" customWidth="1"/>
    <col min="9" max="16384" width="9" style="14"/>
  </cols>
  <sheetData>
    <row r="6" spans="1:8" ht="15" customHeight="1">
      <c r="A6" s="14" t="s">
        <v>141</v>
      </c>
      <c r="C6" s="14" t="s">
        <v>142</v>
      </c>
      <c r="D6" s="14" t="s">
        <v>143</v>
      </c>
      <c r="E6" s="14" t="s">
        <v>144</v>
      </c>
      <c r="F6" s="14" t="s">
        <v>145</v>
      </c>
      <c r="G6" s="120" t="s">
        <v>484</v>
      </c>
    </row>
    <row r="7" spans="1:8" ht="15" customHeight="1">
      <c r="A7" s="1" t="s">
        <v>114</v>
      </c>
      <c r="B7" s="28"/>
      <c r="C7" s="14" t="s">
        <v>115</v>
      </c>
      <c r="D7" s="154"/>
      <c r="E7" s="14" t="s">
        <v>116</v>
      </c>
      <c r="F7" s="154" t="str">
        <f>IF(_output_title="","",_output_title)</f>
        <v/>
      </c>
    </row>
    <row r="8" spans="1:8" ht="15" customHeight="1">
      <c r="A8" s="8"/>
      <c r="B8" s="119"/>
      <c r="D8" s="154"/>
      <c r="F8" s="154"/>
    </row>
    <row r="9" spans="1:8" ht="15" customHeight="1">
      <c r="A9" s="1" t="s">
        <v>111</v>
      </c>
      <c r="B9" s="28"/>
      <c r="C9" s="14" t="s">
        <v>112</v>
      </c>
      <c r="D9" s="154" t="s">
        <v>3170</v>
      </c>
      <c r="E9" s="14" t="s">
        <v>113</v>
      </c>
      <c r="F9" s="154" t="str">
        <f>IF(_output_sheetname="","",_output_sheetname)</f>
        <v>連絡担当者票</v>
      </c>
    </row>
    <row r="10" spans="1:8" ht="15" customHeight="1">
      <c r="A10" s="8"/>
      <c r="B10" s="119"/>
      <c r="D10" s="154"/>
      <c r="F10" s="154"/>
    </row>
    <row r="11" spans="1:8" ht="15" customHeight="1">
      <c r="A11" s="46" t="s">
        <v>721</v>
      </c>
      <c r="B11" s="47"/>
      <c r="C11" s="14" t="s">
        <v>146</v>
      </c>
      <c r="D11" s="154" t="s">
        <v>1298</v>
      </c>
      <c r="E11" s="14" t="s">
        <v>194</v>
      </c>
      <c r="F11" s="154" t="str">
        <f>IF(wsjob_TARGET_KIND__label="","",wsjob_TARGET_KIND__label)</f>
        <v>建築物</v>
      </c>
      <c r="G11" s="17"/>
      <c r="H11" s="17"/>
    </row>
    <row r="12" spans="1:8" ht="62.1" customHeight="1">
      <c r="A12" s="84"/>
      <c r="B12" s="78" t="s">
        <v>1295</v>
      </c>
      <c r="C12" s="14" t="s">
        <v>1315</v>
      </c>
      <c r="D12" s="154">
        <v>100</v>
      </c>
      <c r="E12" s="14" t="s">
        <v>1314</v>
      </c>
      <c r="F12" s="154" t="str">
        <f ca="1">IF(wsjob_JOB_SET_KIND="","",IF(ISERROR(MATCH(wsjob_JOB_SET_KIND,cls_JOB_SET_KIND_erea,0)),"未設定コード",OFFSET(cls_JOB_SET_KIND_base_point,MATCH(wsjob_JOB_SET_KIND,cls_JOB_SET_KIND_erea,0),0)))</f>
        <v>基準法</v>
      </c>
      <c r="G12" s="57" t="s">
        <v>1296</v>
      </c>
      <c r="H12" s="17"/>
    </row>
    <row r="13" spans="1:8" ht="62.1" customHeight="1">
      <c r="A13" s="84"/>
      <c r="B13" s="78" t="s">
        <v>1294</v>
      </c>
      <c r="C13" s="14" t="s">
        <v>477</v>
      </c>
      <c r="D13" s="154">
        <v>1</v>
      </c>
      <c r="E13" s="14" t="s">
        <v>478</v>
      </c>
      <c r="F13" s="154" t="str">
        <f ca="1">IF(wsjob_TARGET_KIND="","",IF(ISERROR(MATCH(wsjob_TARGET_KIND,cls_TARGET_KIND_erea,0)),"未設定コード",OFFSET(cls_TARGET_KIND_base_point,MATCH(wsjob_TARGET_KIND,cls_TARGET_KIND_erea,0),0)))</f>
        <v>建築物</v>
      </c>
      <c r="G13" s="57" t="s">
        <v>1293</v>
      </c>
      <c r="H13" s="17"/>
    </row>
    <row r="14" spans="1:8" ht="16.5" customHeight="1">
      <c r="A14" s="84"/>
      <c r="B14" s="78" t="s">
        <v>1298</v>
      </c>
      <c r="D14" s="17"/>
      <c r="E14" s="14" t="s">
        <v>2662</v>
      </c>
      <c r="F14" s="154" t="str">
        <f ca="1">IF(cst_wsjob_TARGET_KIND="建築物","■","□")</f>
        <v>■</v>
      </c>
      <c r="G14" s="57"/>
      <c r="H14" s="17"/>
    </row>
    <row r="15" spans="1:8" ht="16.5" customHeight="1">
      <c r="A15" s="84"/>
      <c r="B15" s="78" t="s">
        <v>1299</v>
      </c>
      <c r="D15" s="17"/>
      <c r="E15" s="14" t="s">
        <v>2663</v>
      </c>
      <c r="F15" s="154" t="str">
        <f ca="1">IF(cst_wsjob_TARGET_KIND="昇降機","■","□")</f>
        <v>□</v>
      </c>
      <c r="G15" s="57"/>
      <c r="H15" s="17"/>
    </row>
    <row r="16" spans="1:8" ht="16.5" customHeight="1">
      <c r="A16" s="84"/>
      <c r="B16" s="78" t="s">
        <v>2664</v>
      </c>
      <c r="D16" s="17"/>
      <c r="E16" s="14" t="s">
        <v>2665</v>
      </c>
      <c r="F16" s="154" t="str">
        <f ca="1">IF(cst_wsjob_TARGET_KIND="工作物","■","□")</f>
        <v>□</v>
      </c>
      <c r="G16" s="57"/>
      <c r="H16" s="17"/>
    </row>
    <row r="17" spans="1:8" ht="62.1" customHeight="1">
      <c r="A17" s="84"/>
      <c r="B17" s="78" t="s">
        <v>1292</v>
      </c>
      <c r="C17" s="14" t="s">
        <v>475</v>
      </c>
      <c r="D17" s="154">
        <v>103</v>
      </c>
      <c r="E17" s="14" t="s">
        <v>476</v>
      </c>
      <c r="F17" s="154" t="str">
        <f ca="1">IF(wsjob_JOB_KIND="","",IF(ISERROR(MATCH(wsjob_JOB_KIND,cls_JOB_KIND_erea,0)),"未設定コード",OFFSET(cls_JOB_KIND_base_point,MATCH(wsjob_JOB_KIND,cls_JOB_KIND_erea,0),0)))</f>
        <v>中間検査</v>
      </c>
      <c r="G17" s="57" t="s">
        <v>1313</v>
      </c>
      <c r="H17" s="17"/>
    </row>
    <row r="18" spans="1:8" ht="16.5" customHeight="1">
      <c r="A18" s="221"/>
      <c r="B18" s="150"/>
      <c r="D18" s="17"/>
      <c r="E18" s="14" t="s">
        <v>2749</v>
      </c>
      <c r="F18" s="154" t="str">
        <f>IF(wsjob_JOB_KIND=101,"■","□")</f>
        <v>□</v>
      </c>
      <c r="G18" s="57"/>
      <c r="H18" s="17"/>
    </row>
    <row r="19" spans="1:8" ht="16.5" customHeight="1">
      <c r="A19" s="221"/>
      <c r="B19" s="150"/>
      <c r="D19" s="17"/>
      <c r="E19" s="14" t="s">
        <v>2750</v>
      </c>
      <c r="F19" s="154" t="str">
        <f>IF(wsjob_JOB_KIND=103,"■","□")</f>
        <v>■</v>
      </c>
      <c r="G19" s="57"/>
      <c r="H19" s="17"/>
    </row>
    <row r="20" spans="1:8" ht="16.5" customHeight="1">
      <c r="A20" s="221"/>
      <c r="B20" s="150"/>
      <c r="D20" s="17"/>
      <c r="E20" s="14" t="s">
        <v>2751</v>
      </c>
      <c r="F20" s="154" t="str">
        <f>IF(wsjob_JOB_KIND=104,"■","□")</f>
        <v>□</v>
      </c>
      <c r="G20" s="57"/>
      <c r="H20" s="17"/>
    </row>
    <row r="21" spans="1:8" ht="15" customHeight="1">
      <c r="A21" s="85"/>
      <c r="B21" s="86"/>
      <c r="F21" s="17"/>
      <c r="G21" s="17"/>
      <c r="H21" s="17"/>
    </row>
    <row r="22" spans="1:8" ht="15" customHeight="1">
      <c r="A22" s="135"/>
      <c r="B22" s="136"/>
      <c r="D22" s="17"/>
      <c r="F22" s="17"/>
      <c r="G22" s="17"/>
      <c r="H22" s="17"/>
    </row>
    <row r="23" spans="1:8" ht="15" customHeight="1">
      <c r="A23" s="157" t="s">
        <v>2356</v>
      </c>
      <c r="B23" s="158"/>
    </row>
    <row r="24" spans="1:8" ht="15" customHeight="1">
      <c r="A24" s="159"/>
      <c r="B24" s="161" t="s">
        <v>2418</v>
      </c>
      <c r="E24" s="14" t="s">
        <v>2417</v>
      </c>
      <c r="F24" s="44">
        <f ca="1">IF(wsjob_JOB_KIND="","",IF(ISERROR(MATCH(wsjob_JOB_KIND,cls_JOB_KIND_erea,0)),"",OFFSET(cls_JOB_KIND_base_point,MATCH(wsjob_JOB_KIND,cls_JOB_KIND_erea,0),1)))</f>
        <v>3</v>
      </c>
      <c r="G24" s="14" t="s">
        <v>2416</v>
      </c>
    </row>
    <row r="25" spans="1:8" ht="15" customHeight="1">
      <c r="A25" s="159"/>
      <c r="B25" s="161" t="s">
        <v>2357</v>
      </c>
      <c r="E25" s="14" t="s">
        <v>2432</v>
      </c>
      <c r="F25" s="44" t="str">
        <f ca="1">IF(AND(chk_JOB_KIND_kakunin=1,wskakunin_koutei01_KOUTEI_TEXT&lt;&gt;""),1,"")</f>
        <v/>
      </c>
    </row>
    <row r="26" spans="1:8" ht="15" customHeight="1">
      <c r="A26" s="159"/>
      <c r="B26" s="161" t="s">
        <v>2358</v>
      </c>
      <c r="E26" s="14" t="s">
        <v>2433</v>
      </c>
      <c r="F26" s="44" t="str">
        <f ca="1">IF(AND(chk_JOB_KIND_kakunin=1,wskakunin_koutei02_KOUTEI_TEXT&lt;&gt;""),1,"")</f>
        <v/>
      </c>
    </row>
    <row r="27" spans="1:8" ht="15" customHeight="1">
      <c r="A27" s="159"/>
      <c r="B27" s="161" t="s">
        <v>2359</v>
      </c>
      <c r="E27" s="14" t="s">
        <v>2434</v>
      </c>
      <c r="F27" s="44" t="str">
        <f ca="1">IF(AND(chk_JOB_KIND_kakunin=1,wskakunin_koutei03_KOUTEI_TEXT&lt;&gt;""),1,"")</f>
        <v/>
      </c>
    </row>
    <row r="28" spans="1:8" ht="15" customHeight="1">
      <c r="A28" s="159"/>
      <c r="B28" s="190" t="s">
        <v>2430</v>
      </c>
      <c r="E28" s="14" t="s">
        <v>2435</v>
      </c>
      <c r="F28" s="44">
        <f ca="1">IF(chk_JOB_KIND_kakunin=3,IF(wskakunin_koutei_izen01_KOUTEI_TEXT="",30,IF(wskakunin_koutei_izen02_KOUTEI_TEXT&lt;&gt;"",32,31)),IF(chk_JOB_KIND_kakunin=1,10,IF(chk_JOB_KIND_kakunin=4,40,"")))</f>
        <v>30</v>
      </c>
      <c r="G28" s="14" t="s">
        <v>2431</v>
      </c>
    </row>
    <row r="29" spans="1:8" ht="15" customHeight="1">
      <c r="A29" s="159"/>
      <c r="B29" s="190" t="s">
        <v>20</v>
      </c>
      <c r="E29" s="14" t="s">
        <v>2415</v>
      </c>
      <c r="F29" s="44" t="str">
        <f ca="1">IF(chk_JOB_KIND_kakunin=1,cst_shinsei_ISSUE_NO,cst_wskakunin_LAST_ISSUE_NO)</f>
        <v>第 2022確認建築静建住ま10505 号</v>
      </c>
      <c r="G29" s="14" t="s">
        <v>2414</v>
      </c>
    </row>
    <row r="30" spans="1:8" ht="15" customHeight="1">
      <c r="A30" s="160"/>
      <c r="B30" s="162"/>
      <c r="E30" s="14" t="s">
        <v>2660</v>
      </c>
      <c r="F30" s="44">
        <f ca="1">IF(chk_JOB_KIND_kakunin=1,cst_shinsei_ISSUE_DATE,cst_wskakunin_LAST_ISSUE_DATE)</f>
        <v>44958</v>
      </c>
    </row>
    <row r="31" spans="1:8" ht="15" customHeight="1">
      <c r="A31" s="34"/>
    </row>
    <row r="32" spans="1:8" ht="15" customHeight="1">
      <c r="A32" s="225" t="s">
        <v>2732</v>
      </c>
      <c r="B32" s="226"/>
      <c r="C32" s="14" t="s">
        <v>2733</v>
      </c>
      <c r="D32" s="260"/>
      <c r="E32" s="14" t="s">
        <v>2734</v>
      </c>
      <c r="F32" s="260" t="str">
        <f>IF(shinsei_PROVO_DATE="","",shinsei_PROVO_DATE)</f>
        <v/>
      </c>
    </row>
    <row r="33" spans="1:8" ht="15" customHeight="1">
      <c r="A33" s="225" t="s">
        <v>2735</v>
      </c>
      <c r="B33" s="226"/>
      <c r="C33" s="14" t="s">
        <v>2736</v>
      </c>
      <c r="D33" s="242"/>
      <c r="E33" s="14" t="s">
        <v>2737</v>
      </c>
      <c r="F33" s="154" t="str">
        <f>IF(shinsei_PROVO_NO="","",shinsei_PROVO_NO)</f>
        <v/>
      </c>
    </row>
    <row r="34" spans="1:8" ht="15" customHeight="1">
      <c r="A34" s="34"/>
    </row>
    <row r="35" spans="1:8" ht="15" customHeight="1">
      <c r="A35" s="163" t="s">
        <v>2383</v>
      </c>
      <c r="B35" s="164"/>
      <c r="D35" s="17"/>
      <c r="F35" s="17"/>
      <c r="G35" s="17"/>
      <c r="H35" s="17"/>
    </row>
    <row r="36" spans="1:8" ht="15" customHeight="1">
      <c r="A36" s="165" t="s">
        <v>125</v>
      </c>
      <c r="B36" s="166"/>
      <c r="C36" s="14" t="s">
        <v>147</v>
      </c>
      <c r="D36" s="240" t="s">
        <v>3261</v>
      </c>
      <c r="E36" s="14" t="s">
        <v>165</v>
      </c>
      <c r="F36" s="154" t="str">
        <f>IF(shinsei_UKETUKE_NO="","",IF(COUNTIF(shinsei_UKETUKE_NO,"*第*")&gt;0,"","第 ")&amp;shinsei_UKETUKE_NO&amp;IF(COUNTIF(shinsei_UKETUKE_NO,"*号*")&gt;0,""," 号"))</f>
        <v>第 2022確中建築静建住ま10505 号</v>
      </c>
      <c r="G36" s="17"/>
      <c r="H36" s="17"/>
    </row>
    <row r="37" spans="1:8" ht="15" customHeight="1">
      <c r="A37" s="167"/>
      <c r="B37" s="168"/>
      <c r="D37" s="34"/>
      <c r="F37" s="17"/>
      <c r="G37" s="17"/>
      <c r="H37" s="17"/>
    </row>
    <row r="38" spans="1:8" ht="15" customHeight="1">
      <c r="A38" s="169" t="s">
        <v>126</v>
      </c>
      <c r="B38" s="170"/>
      <c r="C38" s="14" t="s">
        <v>148</v>
      </c>
      <c r="D38" s="260">
        <v>45023</v>
      </c>
      <c r="E38" s="14" t="s">
        <v>166</v>
      </c>
      <c r="F38" s="260">
        <f>IF(shinsei_HIKIUKE_DATE="","",shinsei_HIKIUKE_DATE)</f>
        <v>45023</v>
      </c>
      <c r="G38" s="17"/>
      <c r="H38" s="17"/>
    </row>
    <row r="39" spans="1:8" ht="15" customHeight="1">
      <c r="A39" s="171"/>
      <c r="B39" s="172"/>
      <c r="D39" s="101"/>
      <c r="F39" s="17"/>
      <c r="G39" s="17"/>
      <c r="H39" s="17"/>
    </row>
    <row r="40" spans="1:8" ht="15" customHeight="1">
      <c r="A40" s="173" t="s">
        <v>20</v>
      </c>
      <c r="B40" s="174"/>
      <c r="C40" s="14" t="s">
        <v>149</v>
      </c>
      <c r="D40" s="240"/>
      <c r="E40" s="14" t="s">
        <v>195</v>
      </c>
      <c r="F40" s="154" t="str">
        <f>IF(shinsei_ISSUE_NO="","",shinsei_ISSUE_NO)</f>
        <v/>
      </c>
      <c r="G40" s="17"/>
      <c r="H40" s="17"/>
    </row>
    <row r="41" spans="1:8" ht="15" customHeight="1">
      <c r="A41" s="237" t="s">
        <v>20</v>
      </c>
      <c r="B41" s="238"/>
      <c r="C41" s="14" t="s">
        <v>2756</v>
      </c>
      <c r="D41" s="242" t="s">
        <v>3260</v>
      </c>
      <c r="E41" s="14" t="s">
        <v>2757</v>
      </c>
      <c r="F41" s="154" t="str">
        <f>IF(shinsei_KAKU_SUMI_NO="","",shinsei_KAKU_SUMI_NO)</f>
        <v>2022確認建築静建住ま10505</v>
      </c>
      <c r="G41" s="17"/>
      <c r="H41" s="17"/>
    </row>
    <row r="42" spans="1:8" ht="15" customHeight="1">
      <c r="A42" s="169" t="s">
        <v>127</v>
      </c>
      <c r="B42" s="170"/>
      <c r="G42" s="17"/>
      <c r="H42" s="17"/>
    </row>
    <row r="43" spans="1:8" ht="15" customHeight="1">
      <c r="A43" s="175"/>
      <c r="B43" s="176" t="s">
        <v>1322</v>
      </c>
      <c r="C43" s="14" t="s">
        <v>480</v>
      </c>
      <c r="D43" s="260"/>
      <c r="E43" s="14" t="s">
        <v>167</v>
      </c>
      <c r="F43" s="260" t="str">
        <f>IF(shinsei_ISSUE_DATE="","",shinsei_ISSUE_DATE)</f>
        <v/>
      </c>
      <c r="G43" s="17"/>
      <c r="H43" s="17"/>
    </row>
    <row r="44" spans="1:8" ht="15" customHeight="1">
      <c r="A44" s="177"/>
      <c r="B44" s="178"/>
      <c r="D44" s="101"/>
      <c r="G44" s="17"/>
      <c r="H44" s="17"/>
    </row>
    <row r="45" spans="1:8" ht="15" customHeight="1">
      <c r="A45" s="173" t="s">
        <v>22</v>
      </c>
      <c r="B45" s="174"/>
      <c r="C45" s="17" t="s">
        <v>2602</v>
      </c>
      <c r="D45" s="154"/>
      <c r="E45" s="14" t="s">
        <v>2603</v>
      </c>
      <c r="F45" s="44" t="str">
        <f>IF(shinsei_ISSUE_KOUFU_NAME="","",shinsei_ISSUE_KOUFU_NAME)</f>
        <v/>
      </c>
    </row>
    <row r="46" spans="1:8" ht="15" customHeight="1">
      <c r="A46" s="173"/>
      <c r="B46" s="174"/>
      <c r="D46" s="101"/>
      <c r="G46" s="17"/>
      <c r="H46" s="17"/>
    </row>
    <row r="47" spans="1:8" ht="15" customHeight="1">
      <c r="A47" s="216" t="s">
        <v>2703</v>
      </c>
      <c r="B47" s="217"/>
      <c r="D47" s="17"/>
      <c r="F47" s="17"/>
      <c r="G47" s="17"/>
      <c r="H47" s="17"/>
    </row>
    <row r="48" spans="1:8" ht="15" customHeight="1">
      <c r="A48" s="218"/>
      <c r="B48" s="219" t="s">
        <v>506</v>
      </c>
      <c r="C48" s="14" t="s">
        <v>2704</v>
      </c>
      <c r="D48" s="17"/>
      <c r="E48" s="14" t="s">
        <v>2705</v>
      </c>
      <c r="F48" s="17" t="str">
        <f>IF(shinsei_build_p6_01_PAGE6_KOUZOU_KEISAN_KIND__005=1,"■","□")</f>
        <v>□</v>
      </c>
      <c r="G48" s="17"/>
      <c r="H48" s="17"/>
    </row>
    <row r="49" spans="1:8" ht="15" customHeight="1">
      <c r="A49" s="218"/>
      <c r="B49" s="219" t="s">
        <v>2706</v>
      </c>
      <c r="C49" s="14" t="s">
        <v>2707</v>
      </c>
      <c r="D49" s="17"/>
      <c r="E49" s="14" t="s">
        <v>2708</v>
      </c>
      <c r="F49" s="17" t="str">
        <f>IF(shinsei_build_p6_01_PAGE6_KOUZOU_KEISAN_KIND__004=1,"■","□")</f>
        <v>□</v>
      </c>
      <c r="G49" s="17"/>
      <c r="H49" s="17"/>
    </row>
    <row r="50" spans="1:8" ht="15" customHeight="1">
      <c r="A50" s="218"/>
      <c r="B50" s="219" t="s">
        <v>2709</v>
      </c>
      <c r="C50" s="14" t="s">
        <v>2710</v>
      </c>
      <c r="D50" s="17"/>
      <c r="E50" s="14" t="s">
        <v>2711</v>
      </c>
      <c r="F50" s="17" t="str">
        <f>IF(shinsei_build_p6_01_PAGE6_KOUZOU_KEISAN_KIND__002=1,"■","□")</f>
        <v>□</v>
      </c>
      <c r="G50" s="17"/>
      <c r="H50" s="17"/>
    </row>
    <row r="51" spans="1:8" ht="15" customHeight="1">
      <c r="A51" s="135" t="s">
        <v>2774</v>
      </c>
      <c r="B51" s="136"/>
      <c r="C51" s="14" t="s">
        <v>2775</v>
      </c>
      <c r="D51" s="154" t="s">
        <v>2852</v>
      </c>
      <c r="E51" s="14" t="s">
        <v>2776</v>
      </c>
      <c r="F51" s="154" t="str">
        <f>IF(wskakunin_KIKAN_NAME="","",wskakunin_KIKAN_NAME)</f>
        <v>一般財団法人静岡県建築住宅まちづくりセンター</v>
      </c>
      <c r="G51" s="17"/>
      <c r="H51" s="17"/>
    </row>
    <row r="52" spans="1:8" ht="15" customHeight="1">
      <c r="A52" s="2" t="s">
        <v>481</v>
      </c>
      <c r="B52" s="139"/>
      <c r="G52" s="17"/>
      <c r="H52" s="17"/>
    </row>
    <row r="53" spans="1:8" ht="15" customHeight="1">
      <c r="A53" s="9"/>
      <c r="B53" s="140" t="s">
        <v>481</v>
      </c>
      <c r="C53" s="14" t="s">
        <v>2384</v>
      </c>
      <c r="D53" s="264"/>
      <c r="E53" s="14" t="s">
        <v>479</v>
      </c>
      <c r="F53" s="264" t="str">
        <f>IF(wskakunin_SHINSEI_DATE="","",wskakunin_SHINSEI_DATE)</f>
        <v/>
      </c>
      <c r="H53" s="17"/>
    </row>
    <row r="54" spans="1:8" ht="15" customHeight="1">
      <c r="A54" s="46" t="s">
        <v>495</v>
      </c>
      <c r="B54" s="49"/>
      <c r="G54" s="17"/>
      <c r="H54" s="17"/>
    </row>
    <row r="55" spans="1:8" ht="15" customHeight="1">
      <c r="A55" s="84"/>
      <c r="B55" s="138" t="s">
        <v>20</v>
      </c>
      <c r="C55" s="14" t="s">
        <v>497</v>
      </c>
      <c r="D55" s="242" t="s">
        <v>3260</v>
      </c>
      <c r="E55" s="14" t="s">
        <v>498</v>
      </c>
      <c r="F55" s="154" t="str">
        <f>IF(wskakunin_LAST_ISSUE_NO="","",IF(COUNTIF(wskakunin_LAST_ISSUE_NO,"*第*")&gt;0,"","第 ")&amp;wskakunin_LAST_ISSUE_NO&amp;IF(COUNTIF(wskakunin_LAST_ISSUE_NO,"*号*")&gt;0,""," 号"))</f>
        <v>第 2022確認建築静建住ま10505 号</v>
      </c>
      <c r="G55" s="17"/>
      <c r="H55" s="17"/>
    </row>
    <row r="56" spans="1:8" ht="15" customHeight="1">
      <c r="A56" s="84"/>
      <c r="B56" s="138" t="s">
        <v>127</v>
      </c>
      <c r="C56" s="14" t="s">
        <v>499</v>
      </c>
      <c r="D56" s="260">
        <v>44958</v>
      </c>
      <c r="E56" s="14" t="s">
        <v>500</v>
      </c>
      <c r="F56" s="260">
        <f>IF(wskakunin_LAST_ISSUE_DATE="","",wskakunin_LAST_ISSUE_DATE)</f>
        <v>44958</v>
      </c>
      <c r="G56" s="17"/>
      <c r="H56" s="17"/>
    </row>
    <row r="57" spans="1:8" ht="15" customHeight="1">
      <c r="A57" s="84"/>
      <c r="B57" s="233" t="s">
        <v>22</v>
      </c>
      <c r="C57" s="14" t="s">
        <v>501</v>
      </c>
      <c r="D57" s="242" t="s">
        <v>3281</v>
      </c>
      <c r="E57" s="14" t="s">
        <v>502</v>
      </c>
      <c r="F57" s="154" t="str">
        <f>IF(wskakunin_LAST_ISSUE_NAME="","",wskakunin_LAST_ISSUE_NAME)</f>
        <v>一般財団法人静岡県建築住宅まちづくりセンター 理事長　柳　敏幸</v>
      </c>
      <c r="G57" s="17"/>
      <c r="H57" s="17"/>
    </row>
    <row r="58" spans="1:8" ht="15" customHeight="1">
      <c r="A58" s="84"/>
      <c r="B58" s="138" t="s">
        <v>496</v>
      </c>
      <c r="C58" s="14" t="s">
        <v>503</v>
      </c>
      <c r="D58" s="242"/>
      <c r="E58" s="14" t="s">
        <v>504</v>
      </c>
      <c r="F58" s="154" t="str">
        <f>IF(wskakunin_P1_HENKOU_GAIYOU="","",wskakunin_P1_HENKOU_GAIYOU)</f>
        <v/>
      </c>
      <c r="G58" s="17"/>
      <c r="H58" s="17"/>
    </row>
    <row r="59" spans="1:8" ht="15" customHeight="1">
      <c r="A59" s="137"/>
      <c r="B59" s="141"/>
      <c r="G59" s="17"/>
      <c r="H59" s="17"/>
    </row>
    <row r="60" spans="1:8" ht="15" customHeight="1">
      <c r="A60" s="230" t="s">
        <v>2742</v>
      </c>
      <c r="B60" s="174"/>
      <c r="D60" s="101"/>
      <c r="E60" s="14" t="s">
        <v>2743</v>
      </c>
      <c r="F60" s="243" t="str">
        <f ca="1">IF(chk_JOB_KIND_kakunin=1,cst_shinsei_ISSUE_NO,cst_wskakunin_LAST_ISSUE_NO)</f>
        <v>第 2022確認建築静建住ま10505 号</v>
      </c>
      <c r="G60" s="17"/>
      <c r="H60" s="17"/>
    </row>
    <row r="61" spans="1:8" ht="15" customHeight="1">
      <c r="A61" s="230" t="s">
        <v>2744</v>
      </c>
      <c r="B61" s="174"/>
      <c r="D61" s="101"/>
      <c r="F61" s="17"/>
      <c r="G61" s="17"/>
      <c r="H61" s="17"/>
    </row>
    <row r="62" spans="1:8" ht="15" customHeight="1">
      <c r="A62" s="231" t="s">
        <v>2729</v>
      </c>
      <c r="B62" s="232"/>
      <c r="C62"/>
      <c r="D62" s="223"/>
      <c r="E62" s="14" t="s">
        <v>2730</v>
      </c>
      <c r="F62" s="244" t="str">
        <f ca="1">IF(OR(cst_wsjob_JOB_KIND=101,cst_wsjob_JOB_KIND=102),cst_shinsei_ISSUE_KOUFU_NAME,cst_wskakunin_LAST_ISSUE_NAME)</f>
        <v>一般財団法人静岡県建築住宅まちづくりセンター 理事長　柳　敏幸</v>
      </c>
      <c r="G62" s="17"/>
      <c r="H62" s="17"/>
    </row>
    <row r="63" spans="1:8" ht="15" customHeight="1">
      <c r="A63" s="234" t="s">
        <v>2746</v>
      </c>
      <c r="B63" s="235"/>
      <c r="C63"/>
      <c r="D63" s="223"/>
      <c r="E63" s="14" t="s">
        <v>2745</v>
      </c>
      <c r="F63" s="245">
        <f ca="1">IF(chk_JOB_KIND_kakunin=1,cst_shinsei_ISSUE_DATE,cst_wskakunin_LAST_ISSUE_DATE)</f>
        <v>44958</v>
      </c>
      <c r="G63" s="17"/>
      <c r="H63" s="17"/>
    </row>
    <row r="64" spans="1:8" ht="15" customHeight="1">
      <c r="A64" s="221"/>
      <c r="B64" s="222"/>
      <c r="G64" s="17"/>
      <c r="H64" s="17"/>
    </row>
    <row r="65" spans="1:8" ht="15" customHeight="1">
      <c r="A65" s="48" t="s">
        <v>496</v>
      </c>
      <c r="B65" s="49"/>
      <c r="C65" s="14" t="s">
        <v>697</v>
      </c>
      <c r="D65" s="44"/>
      <c r="E65" s="14" t="s">
        <v>698</v>
      </c>
      <c r="F65" s="44" t="str">
        <f>IF(wskakunin_PAGE1_ALTERATION_NOTE="","",wskakunin_PAGE1_ALTERATION_NOTE)</f>
        <v/>
      </c>
    </row>
    <row r="66" spans="1:8" ht="15" customHeight="1">
      <c r="A66" s="51"/>
      <c r="B66" s="63"/>
    </row>
    <row r="67" spans="1:8" ht="15" customHeight="1">
      <c r="A67" s="52" t="s">
        <v>493</v>
      </c>
      <c r="B67" s="117"/>
      <c r="G67" s="17"/>
      <c r="H67" s="17"/>
    </row>
    <row r="68" spans="1:8" ht="15" customHeight="1">
      <c r="A68" s="113"/>
      <c r="B68" s="77" t="s">
        <v>492</v>
      </c>
      <c r="C68" s="14" t="s">
        <v>696</v>
      </c>
      <c r="D68" s="246" t="s">
        <v>3264</v>
      </c>
      <c r="E68" s="14" t="s">
        <v>494</v>
      </c>
      <c r="F68" s="246" t="str">
        <f>IF(wskakunin_APPLICANT_NAME="","",wskakunin_APPLICANT_NAME)</f>
        <v>菅野　幸子</v>
      </c>
      <c r="G68" s="17"/>
      <c r="H68" s="17"/>
    </row>
    <row r="69" spans="1:8" ht="15" customHeight="1">
      <c r="A69" s="118"/>
      <c r="B69" s="492"/>
      <c r="G69" s="17"/>
      <c r="H69" s="17"/>
    </row>
    <row r="70" spans="1:8" ht="15" customHeight="1">
      <c r="A70" s="490" t="s">
        <v>1309</v>
      </c>
      <c r="B70" s="491"/>
      <c r="G70" s="17"/>
      <c r="H70" s="17"/>
    </row>
    <row r="71" spans="1:8" ht="15" customHeight="1">
      <c r="A71" s="490" t="s">
        <v>3218</v>
      </c>
      <c r="B71" s="77" t="s">
        <v>120</v>
      </c>
      <c r="C71" s="14" t="s">
        <v>3219</v>
      </c>
      <c r="D71" s="117"/>
      <c r="E71" s="14" t="s">
        <v>3229</v>
      </c>
      <c r="F71" s="117" t="str">
        <f>IF(wssonota_owner1_JIMU_NAME="","",wssonota_owner1_JIMU_NAME)</f>
        <v/>
      </c>
      <c r="G71" s="17"/>
      <c r="H71" s="17"/>
    </row>
    <row r="72" spans="1:8" ht="15" customHeight="1">
      <c r="A72" s="490"/>
      <c r="B72" s="77" t="s">
        <v>182</v>
      </c>
      <c r="C72" s="14" t="s">
        <v>3220</v>
      </c>
      <c r="D72" s="117"/>
      <c r="G72" s="17"/>
      <c r="H72" s="17"/>
    </row>
    <row r="73" spans="1:8" ht="15" customHeight="1">
      <c r="A73" s="490"/>
      <c r="B73" s="77" t="s">
        <v>119</v>
      </c>
      <c r="C73" s="14" t="s">
        <v>3221</v>
      </c>
      <c r="D73" s="117"/>
      <c r="E73" s="14" t="s">
        <v>3230</v>
      </c>
      <c r="F73" s="117" t="str">
        <f>IF(wssonota_owner1_POST="","",wssonota_owner1_POST)</f>
        <v/>
      </c>
      <c r="G73" s="17"/>
      <c r="H73" s="17"/>
    </row>
    <row r="74" spans="1:8" ht="15" customHeight="1">
      <c r="A74" s="490"/>
      <c r="B74" s="77" t="s">
        <v>183</v>
      </c>
      <c r="C74" s="14" t="s">
        <v>3222</v>
      </c>
      <c r="D74" s="117"/>
      <c r="G74" s="17"/>
      <c r="H74" s="17"/>
    </row>
    <row r="75" spans="1:8" ht="15" customHeight="1">
      <c r="A75" s="490"/>
      <c r="B75" s="77" t="s">
        <v>11</v>
      </c>
      <c r="C75" s="14" t="s">
        <v>3223</v>
      </c>
      <c r="D75" s="117"/>
      <c r="E75" s="14" t="s">
        <v>3231</v>
      </c>
      <c r="F75" s="117" t="str">
        <f>IF(wssonota_owner1_NAME="","",wssonota_owner1_NAME)</f>
        <v/>
      </c>
      <c r="G75" s="17"/>
      <c r="H75" s="17"/>
    </row>
    <row r="76" spans="1:8" ht="15" customHeight="1">
      <c r="A76" s="490"/>
      <c r="B76" s="77" t="s">
        <v>184</v>
      </c>
      <c r="C76" s="14" t="s">
        <v>3224</v>
      </c>
      <c r="D76" s="117"/>
      <c r="G76" s="17"/>
      <c r="H76" s="17"/>
    </row>
    <row r="77" spans="1:8" ht="15" customHeight="1">
      <c r="A77" s="490"/>
      <c r="B77" s="77" t="s">
        <v>3232</v>
      </c>
      <c r="E77" s="14" t="s">
        <v>3233</v>
      </c>
      <c r="F77" s="493" t="str">
        <f>wssonota_owner1_JIMU_NAME&amp;IF(wssonota_owner1_NAME="","",CHAR(10))&amp;IF(wssonota_owner1_POST&amp;wssonota_owner1_NAME="","",IF(wssonota_owner1_POST="",wssonota_owner1_NAME,wssonota_owner1_POST&amp;"　"&amp;wssonota_owner1_NAME))</f>
        <v/>
      </c>
      <c r="G77" s="17"/>
      <c r="H77" s="17"/>
    </row>
    <row r="78" spans="1:8" ht="15" customHeight="1">
      <c r="A78" s="490"/>
      <c r="B78" s="77"/>
      <c r="G78" s="17"/>
      <c r="H78" s="17"/>
    </row>
    <row r="79" spans="1:8" ht="15" customHeight="1">
      <c r="A79" s="490"/>
      <c r="B79" s="77" t="s">
        <v>12</v>
      </c>
      <c r="C79" s="14" t="s">
        <v>3225</v>
      </c>
      <c r="D79" s="117"/>
      <c r="E79" s="14" t="s">
        <v>3234</v>
      </c>
      <c r="F79" s="117" t="str">
        <f>IF(wssonota_owner1_ZIP="","",wssonota_owner1_ZIP)</f>
        <v/>
      </c>
      <c r="G79" s="17"/>
      <c r="H79" s="17"/>
    </row>
    <row r="80" spans="1:8" ht="15" customHeight="1">
      <c r="A80" s="490"/>
      <c r="B80" s="77" t="s">
        <v>13</v>
      </c>
      <c r="C80" s="14" t="s">
        <v>3226</v>
      </c>
      <c r="D80" s="117"/>
      <c r="E80" s="14" t="s">
        <v>3228</v>
      </c>
      <c r="F80" s="117" t="str">
        <f>IF(wssonota_owner1__address="","",wssonota_owner1__address)</f>
        <v/>
      </c>
      <c r="G80" s="17"/>
      <c r="H80" s="17"/>
    </row>
    <row r="81" spans="1:8" ht="15" customHeight="1">
      <c r="A81" s="490"/>
      <c r="B81" s="77" t="s">
        <v>14</v>
      </c>
      <c r="C81" s="14" t="s">
        <v>3227</v>
      </c>
      <c r="D81" s="117"/>
      <c r="E81" s="14" t="s">
        <v>3235</v>
      </c>
      <c r="F81" s="117" t="str">
        <f>IF(wssonota_owner1_TEL="","",wssonota_owner1_TEL)</f>
        <v/>
      </c>
      <c r="G81" s="17"/>
      <c r="H81" s="17"/>
    </row>
    <row r="82" spans="1:8" ht="15" customHeight="1">
      <c r="A82" s="490"/>
      <c r="B82" s="77"/>
      <c r="G82" s="17"/>
      <c r="H82" s="17"/>
    </row>
    <row r="83" spans="1:8" ht="15" customHeight="1">
      <c r="A83" s="490" t="s">
        <v>709</v>
      </c>
      <c r="B83" s="77" t="s">
        <v>3251</v>
      </c>
      <c r="C83" s="14" t="s">
        <v>3243</v>
      </c>
      <c r="D83" s="117" t="s">
        <v>3262</v>
      </c>
      <c r="E83" s="17" t="s">
        <v>3247</v>
      </c>
      <c r="F83" s="246" t="str">
        <f>IF(wsjob__address="","",wsjob__address)</f>
        <v>静岡県静岡市葵区平和二丁目215-8</v>
      </c>
    </row>
    <row r="84" spans="1:8" ht="15" customHeight="1">
      <c r="A84" s="490"/>
      <c r="B84" s="77" t="s">
        <v>3251</v>
      </c>
      <c r="C84" s="14" t="s">
        <v>3244</v>
      </c>
      <c r="D84" s="117" t="s">
        <v>3262</v>
      </c>
      <c r="E84" s="17" t="s">
        <v>3248</v>
      </c>
      <c r="F84" s="246" t="str">
        <f>IF(wsjob_BUILD__address="","",wsjob_BUILD__address)</f>
        <v>静岡県静岡市葵区平和二丁目215-8</v>
      </c>
    </row>
    <row r="85" spans="1:8" ht="15" customHeight="1">
      <c r="A85" s="490"/>
      <c r="B85" s="77" t="s">
        <v>3252</v>
      </c>
      <c r="C85" s="14" t="s">
        <v>3245</v>
      </c>
      <c r="D85" s="117">
        <v>22</v>
      </c>
      <c r="E85" s="17" t="s">
        <v>3249</v>
      </c>
      <c r="F85" s="246">
        <f>IF(wsjob_BUILD_KEN="","",wsjob_BUILD_KEN)</f>
        <v>22</v>
      </c>
      <c r="G85" s="14" t="s">
        <v>3253</v>
      </c>
    </row>
    <row r="86" spans="1:8" ht="15" customHeight="1">
      <c r="A86" s="490"/>
      <c r="B86" s="77" t="s">
        <v>13</v>
      </c>
      <c r="C86" s="14" t="s">
        <v>3246</v>
      </c>
      <c r="D86" s="117" t="s">
        <v>3263</v>
      </c>
      <c r="E86" s="17" t="s">
        <v>3250</v>
      </c>
      <c r="F86" s="246" t="str">
        <f>IF(wsjob_BUILD_ADDRESS="","",wsjob_BUILD_ADDRESS)</f>
        <v>静岡市葵区平和二丁目215-8</v>
      </c>
    </row>
    <row r="87" spans="1:8" ht="15" customHeight="1">
      <c r="A87" s="490"/>
      <c r="B87" s="77"/>
      <c r="E87" s="17"/>
      <c r="F87" s="17"/>
    </row>
    <row r="88" spans="1:8" ht="15" customHeight="1">
      <c r="A88" s="46" t="s">
        <v>10</v>
      </c>
      <c r="B88" s="49"/>
      <c r="G88" s="17"/>
      <c r="H88" s="17"/>
    </row>
    <row r="89" spans="1:8" ht="15" customHeight="1">
      <c r="A89" s="84"/>
      <c r="B89" s="78" t="s">
        <v>120</v>
      </c>
      <c r="C89" s="14" t="s">
        <v>467</v>
      </c>
      <c r="D89" s="154"/>
      <c r="E89" s="14" t="s">
        <v>468</v>
      </c>
      <c r="F89" s="154" t="str">
        <f>IF(wskakunin_owner1_JIMU_NAME="", "", wskakunin_owner1_JIMU_NAME)</f>
        <v/>
      </c>
      <c r="G89" s="17"/>
      <c r="H89" s="17"/>
    </row>
    <row r="90" spans="1:8" ht="15" customHeight="1">
      <c r="A90" s="84"/>
      <c r="B90" s="78" t="s">
        <v>182</v>
      </c>
      <c r="C90" s="14" t="s">
        <v>469</v>
      </c>
      <c r="D90" s="154"/>
      <c r="E90" s="14" t="s">
        <v>470</v>
      </c>
      <c r="F90" s="154" t="str">
        <f>IF(wskakunin_owner1_JIMU_NAME_KANA="","",wskakunin_owner1_JIMU_NAME_KANA)</f>
        <v/>
      </c>
      <c r="G90" s="17"/>
      <c r="H90" s="17"/>
    </row>
    <row r="91" spans="1:8" ht="15" customHeight="1">
      <c r="A91" s="84"/>
      <c r="B91" s="78" t="s">
        <v>119</v>
      </c>
      <c r="C91" s="14" t="s">
        <v>471</v>
      </c>
      <c r="D91" s="154"/>
      <c r="E91" s="14" t="s">
        <v>168</v>
      </c>
      <c r="F91" s="154" t="str">
        <f>IF(wskakunin_owner1_POST="", "", wskakunin_owner1_POST)</f>
        <v/>
      </c>
      <c r="G91" s="17"/>
      <c r="H91" s="17"/>
    </row>
    <row r="92" spans="1:8" ht="15" customHeight="1">
      <c r="A92" s="84"/>
      <c r="B92" s="78" t="s">
        <v>183</v>
      </c>
      <c r="C92" s="14" t="s">
        <v>472</v>
      </c>
      <c r="D92" s="154"/>
      <c r="E92" s="14" t="s">
        <v>473</v>
      </c>
      <c r="F92" s="154" t="str">
        <f>IF(wskakunin_owner1_POST_KANA="","",wskakunin_owner1_POST_KANA)</f>
        <v/>
      </c>
      <c r="G92" s="17"/>
      <c r="H92" s="17"/>
    </row>
    <row r="93" spans="1:8" ht="15" customHeight="1">
      <c r="A93" s="84"/>
      <c r="B93" s="78" t="s">
        <v>11</v>
      </c>
      <c r="C93" s="14" t="s">
        <v>150</v>
      </c>
      <c r="D93" s="154" t="s">
        <v>3264</v>
      </c>
      <c r="E93" s="14" t="s">
        <v>169</v>
      </c>
      <c r="F93" s="154" t="str">
        <f>IF(wskakunin_owner1_NAME="", "", wskakunin_owner1_NAME)</f>
        <v>菅野　幸子</v>
      </c>
      <c r="G93" s="17"/>
      <c r="H93" s="17"/>
    </row>
    <row r="94" spans="1:8" ht="15" customHeight="1">
      <c r="A94" s="50"/>
      <c r="B94" s="78" t="s">
        <v>184</v>
      </c>
      <c r="C94" s="14" t="s">
        <v>151</v>
      </c>
      <c r="D94" s="154" t="s">
        <v>3283</v>
      </c>
      <c r="E94" s="14" t="s">
        <v>170</v>
      </c>
      <c r="F94" s="154" t="str">
        <f>IF(wskakunin_owner1_NAME_KANA="","",wskakunin_owner1_NAME_KANA)</f>
        <v>スガノ サチコ</v>
      </c>
      <c r="G94" s="17"/>
      <c r="H94" s="17"/>
    </row>
    <row r="95" spans="1:8" ht="15" customHeight="1">
      <c r="A95" s="50"/>
      <c r="B95" s="116" t="s">
        <v>185</v>
      </c>
      <c r="D95" s="17"/>
      <c r="E95" s="14" t="s">
        <v>474</v>
      </c>
      <c r="F95" s="154" t="str">
        <f>IF(wskakunin_owner1_JIMU_NAME_KANA="",cst_wskakunin_owner1_NAME_KANA,IF(wskakunin_owner1_POST_KANA="",cst_wskakunin_owner1_NAME_KANA,cst_wskakunin_owner1_JIMU_NAME_KANA&amp;"　"&amp;cst_wskakunin_owner1_POST_KANA&amp;"　"&amp;cst_wskakunin_owner1_NAME_KANA))</f>
        <v>スガノ サチコ</v>
      </c>
      <c r="G95" s="17"/>
      <c r="H95" s="17"/>
    </row>
    <row r="96" spans="1:8" ht="15" customHeight="1">
      <c r="A96" s="227"/>
      <c r="B96" s="116" t="s">
        <v>2765</v>
      </c>
      <c r="D96" s="17"/>
      <c r="E96" s="14" t="s">
        <v>2766</v>
      </c>
      <c r="F96" s="154"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スガノ サチコ</v>
      </c>
      <c r="G96" s="17"/>
      <c r="H96" s="17"/>
    </row>
    <row r="97" spans="1:8" ht="15" customHeight="1">
      <c r="A97" s="50"/>
      <c r="B97" s="78" t="s">
        <v>12</v>
      </c>
      <c r="C97" s="14" t="s">
        <v>152</v>
      </c>
      <c r="D97" s="240" t="s">
        <v>3285</v>
      </c>
      <c r="E97" s="14" t="s">
        <v>171</v>
      </c>
      <c r="F97" s="154" t="str">
        <f>IF(wskakunin_owner1_ZIP="", "", wskakunin_owner1_ZIP)</f>
        <v>420-0944</v>
      </c>
      <c r="G97" s="17"/>
      <c r="H97" s="17"/>
    </row>
    <row r="98" spans="1:8" ht="15" customHeight="1">
      <c r="A98" s="227"/>
      <c r="B98" s="78"/>
      <c r="E98" s="14" t="s">
        <v>2747</v>
      </c>
      <c r="F98" s="154" t="str">
        <f>IF(wskakunin_owner1_ZIP="","",LEFT(wskakunin_owner1_ZIP,3)&amp;RIGHT(wskakunin_owner1_ZIP,4))</f>
        <v>4200944</v>
      </c>
      <c r="G98" s="17"/>
      <c r="H98" s="17"/>
    </row>
    <row r="99" spans="1:8" ht="15" customHeight="1">
      <c r="A99" s="50"/>
      <c r="B99" s="78" t="s">
        <v>13</v>
      </c>
      <c r="C99" s="14" t="s">
        <v>153</v>
      </c>
      <c r="D99" s="154" t="s">
        <v>3282</v>
      </c>
      <c r="E99" s="14" t="s">
        <v>172</v>
      </c>
      <c r="F99" s="154" t="str">
        <f>IF(wskakunin_owner1__address="", "", wskakunin_owner1__address)</f>
        <v>静岡県静岡市葵区新伝馬二丁目8-41-101</v>
      </c>
      <c r="G99" s="17"/>
      <c r="H99" s="17"/>
    </row>
    <row r="100" spans="1:8" ht="15" customHeight="1">
      <c r="A100" s="50"/>
      <c r="B100" s="78" t="s">
        <v>14</v>
      </c>
      <c r="C100" s="14" t="s">
        <v>154</v>
      </c>
      <c r="D100" s="240" t="s">
        <v>3284</v>
      </c>
      <c r="E100" s="14" t="s">
        <v>173</v>
      </c>
      <c r="F100" s="154" t="str">
        <f>IF(wskakunin_owner1_TEL="", "", wskakunin_owner1_TEL)</f>
        <v>090-9183-9120</v>
      </c>
      <c r="G100" s="17"/>
      <c r="H100" s="17"/>
    </row>
    <row r="101" spans="1:8" ht="15" customHeight="1">
      <c r="A101" s="50"/>
      <c r="B101" s="75" t="s">
        <v>180</v>
      </c>
      <c r="D101" s="17"/>
      <c r="E101" s="14" t="s">
        <v>196</v>
      </c>
      <c r="F101" s="247" t="str">
        <f>IF(wskakunin_owner1_JIMU_NAME="",cst_wskakunin_owner1_NAME,IF(wskakunin_owner1_POST="",cst_wskakunin_owner1_NAME,cst_wskakunin_owner1_JIMU_NAME&amp;"　"&amp;cst_wskakunin_owner1_POST&amp;"　"&amp;cst_wskakunin_owner1_NAME))</f>
        <v>菅野　幸子</v>
      </c>
      <c r="G101" s="57"/>
      <c r="H101" s="57"/>
    </row>
    <row r="102" spans="1:8" ht="15" customHeight="1">
      <c r="A102" s="50"/>
      <c r="B102" s="75" t="s">
        <v>179</v>
      </c>
      <c r="D102" s="17"/>
      <c r="E102" s="14" t="s">
        <v>197</v>
      </c>
      <c r="F102" s="154" t="str">
        <f>IF(wskakunin_owner1_POST&amp;wskakunin_owner1_NAME="","",IF(wskakunin_owner1_POST="",wskakunin_owner1_NAME,wskakunin_owner1_POST&amp;"　"&amp;wskakunin_owner1_NAME))</f>
        <v>菅野　幸子</v>
      </c>
      <c r="G102" s="17"/>
      <c r="H102" s="17"/>
    </row>
    <row r="103" spans="1:8" ht="30" customHeight="1">
      <c r="A103" s="50"/>
      <c r="B103" s="78" t="s">
        <v>178</v>
      </c>
      <c r="D103" s="17"/>
      <c r="E103" s="14" t="s">
        <v>2739</v>
      </c>
      <c r="F103" s="247" t="str">
        <f>wskakunin_owner1_JIMU_NAME&amp;IF(wskakunin_owner1_JIMU_NAME="","",CHAR(10))&amp;cst_wskakunin_owner1__space2</f>
        <v>菅野　幸子</v>
      </c>
      <c r="G103" s="57"/>
      <c r="H103" s="57"/>
    </row>
    <row r="104" spans="1:8" ht="30" customHeight="1">
      <c r="A104" s="227"/>
      <c r="B104" s="150" t="s">
        <v>2768</v>
      </c>
      <c r="D104" s="17"/>
      <c r="E104" s="14" t="s">
        <v>2767</v>
      </c>
      <c r="F104" s="247"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菅野　幸子</v>
      </c>
      <c r="G104" s="57"/>
      <c r="H104" s="57"/>
    </row>
    <row r="105" spans="1:8" ht="15" customHeight="1">
      <c r="A105" s="51"/>
      <c r="B105" s="86"/>
      <c r="D105" s="17"/>
      <c r="G105" s="57"/>
      <c r="H105" s="57"/>
    </row>
    <row r="106" spans="1:8" ht="15" customHeight="1">
      <c r="A106" s="46" t="s">
        <v>1488</v>
      </c>
      <c r="B106" s="49"/>
      <c r="G106" s="17"/>
      <c r="H106" s="17"/>
    </row>
    <row r="107" spans="1:8" ht="15" customHeight="1">
      <c r="A107" s="84"/>
      <c r="B107" s="78" t="s">
        <v>120</v>
      </c>
      <c r="C107" s="14" t="s">
        <v>1496</v>
      </c>
      <c r="D107" s="154"/>
      <c r="E107" s="14" t="s">
        <v>1497</v>
      </c>
      <c r="F107" s="154" t="str">
        <f>IF(wskakunin_owner2_JIMU_NAME="", "", wskakunin_owner2_JIMU_NAME)</f>
        <v/>
      </c>
      <c r="H107" s="17"/>
    </row>
    <row r="108" spans="1:8" ht="15" customHeight="1">
      <c r="A108" s="84"/>
      <c r="B108" s="78" t="s">
        <v>182</v>
      </c>
      <c r="C108" s="14" t="s">
        <v>1498</v>
      </c>
      <c r="D108" s="154"/>
      <c r="E108" s="14" t="s">
        <v>1499</v>
      </c>
      <c r="F108" s="154" t="str">
        <f>IF(wskakunin_owner2_JIMU_NAME_KANA="","",wskakunin_owner2_JIMU_NAME_KANA)</f>
        <v/>
      </c>
      <c r="H108" s="17"/>
    </row>
    <row r="109" spans="1:8" ht="15" customHeight="1">
      <c r="A109" s="84"/>
      <c r="B109" s="78" t="s">
        <v>119</v>
      </c>
      <c r="C109" s="14" t="s">
        <v>1500</v>
      </c>
      <c r="D109" s="154"/>
      <c r="E109" s="14" t="s">
        <v>1501</v>
      </c>
      <c r="F109" s="154" t="str">
        <f>IF(wskakunin_owner2_POST="", "", wskakunin_owner2_POST)</f>
        <v/>
      </c>
      <c r="H109" s="17"/>
    </row>
    <row r="110" spans="1:8" ht="15" customHeight="1">
      <c r="A110" s="84"/>
      <c r="B110" s="78" t="s">
        <v>183</v>
      </c>
      <c r="C110" s="14" t="s">
        <v>1502</v>
      </c>
      <c r="D110" s="154"/>
      <c r="E110" s="14" t="s">
        <v>1503</v>
      </c>
      <c r="F110" s="154" t="str">
        <f>IF(wskakunin_owner2_POST_KANA="","",wskakunin_owner2_POST_KANA)</f>
        <v/>
      </c>
      <c r="H110" s="17"/>
    </row>
    <row r="111" spans="1:8" ht="15" customHeight="1">
      <c r="A111" s="84"/>
      <c r="B111" s="78" t="s">
        <v>11</v>
      </c>
      <c r="C111" s="14" t="s">
        <v>1504</v>
      </c>
      <c r="D111" s="154"/>
      <c r="E111" s="14" t="s">
        <v>1505</v>
      </c>
      <c r="F111" s="154" t="str">
        <f>IF(wskakunin_owner2_NAME="", "", wskakunin_owner2_NAME)</f>
        <v/>
      </c>
      <c r="H111" s="17"/>
    </row>
    <row r="112" spans="1:8" ht="15" customHeight="1">
      <c r="A112" s="50"/>
      <c r="B112" s="78" t="s">
        <v>184</v>
      </c>
      <c r="C112" s="14" t="s">
        <v>1506</v>
      </c>
      <c r="D112" s="154"/>
      <c r="E112" s="14" t="s">
        <v>1507</v>
      </c>
      <c r="F112" s="154" t="str">
        <f>IF(wskakunin_owner2_NAME_KANA="","",wskakunin_owner2_NAME_KANA)</f>
        <v/>
      </c>
      <c r="H112" s="17"/>
    </row>
    <row r="113" spans="1:8" ht="15" customHeight="1">
      <c r="A113" s="50"/>
      <c r="B113" s="78" t="s">
        <v>12</v>
      </c>
      <c r="C113" s="14" t="s">
        <v>1508</v>
      </c>
      <c r="D113" s="240"/>
      <c r="E113" s="14" t="s">
        <v>1509</v>
      </c>
      <c r="F113" s="154" t="str">
        <f>IF(wskakunin_owner2_ZIP="", "", wskakunin_owner2_ZIP)</f>
        <v/>
      </c>
      <c r="H113" s="17"/>
    </row>
    <row r="114" spans="1:8" ht="15" customHeight="1">
      <c r="A114" s="50"/>
      <c r="B114" s="78" t="s">
        <v>13</v>
      </c>
      <c r="C114" s="14" t="s">
        <v>1510</v>
      </c>
      <c r="D114" s="154"/>
      <c r="E114" s="14" t="s">
        <v>3199</v>
      </c>
      <c r="F114" s="154" t="str">
        <f>IF(wskakunin_owner2__address="", "", wskakunin_owner2__address)</f>
        <v/>
      </c>
      <c r="H114" s="17"/>
    </row>
    <row r="115" spans="1:8" ht="15" customHeight="1">
      <c r="A115" s="50"/>
      <c r="B115" s="78" t="s">
        <v>14</v>
      </c>
      <c r="C115" s="14" t="s">
        <v>1511</v>
      </c>
      <c r="D115" s="240"/>
      <c r="E115" s="14" t="s">
        <v>1512</v>
      </c>
      <c r="F115" s="154" t="str">
        <f>IF(wskakunin_owner2_TEL="", "", wskakunin_owner2_TEL)</f>
        <v/>
      </c>
      <c r="H115" s="17"/>
    </row>
    <row r="116" spans="1:8" ht="15" customHeight="1">
      <c r="A116" s="50"/>
      <c r="B116" s="75" t="s">
        <v>180</v>
      </c>
      <c r="E116" s="14" t="s">
        <v>2724</v>
      </c>
      <c r="F116" s="154" t="str">
        <f>IF(wskakunin_owner2_JIMU_NAME="",cst_wskakunin_owner2_NAME,IF(wskakunin_owner2_POST="",cst_wskakunin_owner2_NAME,cst_wskakunin_owner2_JIMU_NAME&amp;"　"&amp;cst_wskakunin_owner2_POST&amp;"　"&amp;cst_wskakunin_owner2_NAME))</f>
        <v/>
      </c>
      <c r="H116" s="17"/>
    </row>
    <row r="117" spans="1:8" ht="15" customHeight="1">
      <c r="A117" s="227"/>
      <c r="B117" s="228" t="s">
        <v>179</v>
      </c>
      <c r="C117"/>
      <c r="D117" s="220"/>
      <c r="E117" s="14" t="s">
        <v>2738</v>
      </c>
      <c r="F117" s="154" t="str">
        <f>IF(wskakunin_owner2_POST&amp;wskakunin_owner2_NAME="","",IF(wskakunin_owner2_POST="",wskakunin_owner2_NAME,wskakunin_owner2_POST&amp;"　"&amp;wskakunin_owner2_NAME))</f>
        <v/>
      </c>
      <c r="H117" s="17"/>
    </row>
    <row r="118" spans="1:8" ht="24">
      <c r="A118" s="227"/>
      <c r="B118" s="229" t="s">
        <v>178</v>
      </c>
      <c r="C118"/>
      <c r="D118" s="220"/>
      <c r="E118" s="14" t="s">
        <v>2740</v>
      </c>
      <c r="F118" s="247" t="str">
        <f>wskakunin_owner2_JIMU_NAME&amp;IF(wskakunin_owner2_JIMU_NAME="","",CHAR(10))&amp;cst_wskakunin_owner2__space2</f>
        <v/>
      </c>
      <c r="H118" s="17"/>
    </row>
    <row r="119" spans="1:8" ht="15" customHeight="1">
      <c r="A119" s="50"/>
      <c r="B119" s="153"/>
      <c r="D119" s="34"/>
      <c r="F119" s="17"/>
      <c r="H119" s="17"/>
    </row>
    <row r="120" spans="1:8" ht="15" customHeight="1">
      <c r="A120" s="46" t="s">
        <v>1489</v>
      </c>
      <c r="B120" s="49"/>
      <c r="H120" s="17"/>
    </row>
    <row r="121" spans="1:8" ht="15" customHeight="1">
      <c r="A121" s="84"/>
      <c r="B121" s="78" t="s">
        <v>120</v>
      </c>
      <c r="C121" s="14" t="s">
        <v>1513</v>
      </c>
      <c r="D121" s="154"/>
      <c r="E121" s="14" t="s">
        <v>1514</v>
      </c>
      <c r="F121" s="154" t="str">
        <f>IF(wskakunin_owner3_JIMU_NAME="", "", wskakunin_owner3_JIMU_NAME)</f>
        <v/>
      </c>
      <c r="H121" s="17"/>
    </row>
    <row r="122" spans="1:8" ht="15" customHeight="1">
      <c r="A122" s="84"/>
      <c r="B122" s="78" t="s">
        <v>182</v>
      </c>
      <c r="C122" s="14" t="s">
        <v>1515</v>
      </c>
      <c r="D122" s="154"/>
      <c r="E122" s="14" t="s">
        <v>1516</v>
      </c>
      <c r="F122" s="154" t="str">
        <f>IF(wskakunin_owner3_JIMU_NAME_KANA="","",wskakunin_owner3_JIMU_NAME_KANA)</f>
        <v/>
      </c>
      <c r="H122" s="17"/>
    </row>
    <row r="123" spans="1:8" ht="15" customHeight="1">
      <c r="A123" s="84"/>
      <c r="B123" s="78" t="s">
        <v>119</v>
      </c>
      <c r="C123" s="14" t="s">
        <v>1517</v>
      </c>
      <c r="D123" s="154"/>
      <c r="E123" s="14" t="s">
        <v>1518</v>
      </c>
      <c r="F123" s="154" t="str">
        <f>IF(wskakunin_owner3_POST="", "", wskakunin_owner3_POST)</f>
        <v/>
      </c>
      <c r="H123" s="17"/>
    </row>
    <row r="124" spans="1:8" ht="15" customHeight="1">
      <c r="A124" s="84"/>
      <c r="B124" s="78" t="s">
        <v>183</v>
      </c>
      <c r="C124" s="14" t="s">
        <v>1519</v>
      </c>
      <c r="D124" s="154"/>
      <c r="E124" s="14" t="s">
        <v>1520</v>
      </c>
      <c r="F124" s="154" t="str">
        <f>IF(wskakunin_owner3_POST_KANA="","",wskakunin_owner3_POST_KANA)</f>
        <v/>
      </c>
      <c r="H124" s="17"/>
    </row>
    <row r="125" spans="1:8" ht="15" customHeight="1">
      <c r="A125" s="84"/>
      <c r="B125" s="78" t="s">
        <v>11</v>
      </c>
      <c r="C125" s="14" t="s">
        <v>1521</v>
      </c>
      <c r="D125" s="154"/>
      <c r="E125" s="14" t="s">
        <v>1522</v>
      </c>
      <c r="F125" s="154" t="str">
        <f>IF(wskakunin_owner3_NAME="", "", wskakunin_owner3_NAME)</f>
        <v/>
      </c>
      <c r="H125" s="17"/>
    </row>
    <row r="126" spans="1:8" ht="15" customHeight="1">
      <c r="A126" s="50"/>
      <c r="B126" s="78" t="s">
        <v>184</v>
      </c>
      <c r="C126" s="14" t="s">
        <v>1523</v>
      </c>
      <c r="D126" s="154"/>
      <c r="E126" s="14" t="s">
        <v>1524</v>
      </c>
      <c r="F126" s="154" t="str">
        <f>IF(wskakunin_owner3_NAME_KANA="","",wskakunin_owner3_NAME_KANA)</f>
        <v/>
      </c>
      <c r="H126" s="17"/>
    </row>
    <row r="127" spans="1:8" ht="15" customHeight="1">
      <c r="A127" s="50"/>
      <c r="B127" s="78" t="s">
        <v>12</v>
      </c>
      <c r="C127" s="14" t="s">
        <v>1525</v>
      </c>
      <c r="D127" s="240"/>
      <c r="E127" s="14" t="s">
        <v>1526</v>
      </c>
      <c r="F127" s="154" t="str">
        <f>IF(wskakunin_owner3_ZIP="", "", wskakunin_owner3_ZIP)</f>
        <v/>
      </c>
      <c r="H127" s="17"/>
    </row>
    <row r="128" spans="1:8" ht="15" customHeight="1">
      <c r="A128" s="50"/>
      <c r="B128" s="78" t="s">
        <v>13</v>
      </c>
      <c r="C128" s="14" t="s">
        <v>1527</v>
      </c>
      <c r="D128" s="154"/>
      <c r="E128" s="14" t="s">
        <v>1528</v>
      </c>
      <c r="F128" s="154" t="str">
        <f>IF(wskakunin_owner3__address="", "", wskakunin_owner3__address)</f>
        <v/>
      </c>
      <c r="H128" s="17"/>
    </row>
    <row r="129" spans="1:8" ht="15" customHeight="1">
      <c r="A129" s="50"/>
      <c r="B129" s="78" t="s">
        <v>14</v>
      </c>
      <c r="C129" s="14" t="s">
        <v>1529</v>
      </c>
      <c r="D129" s="240"/>
      <c r="E129" s="14" t="s">
        <v>1530</v>
      </c>
      <c r="F129" s="154" t="str">
        <f>IF(wskakunin_owner3_TEL="", "", wskakunin_owner3_TEL)</f>
        <v/>
      </c>
      <c r="H129" s="17"/>
    </row>
    <row r="130" spans="1:8" ht="15" customHeight="1">
      <c r="A130" s="50"/>
      <c r="B130" s="75" t="s">
        <v>180</v>
      </c>
      <c r="E130" s="14" t="s">
        <v>2725</v>
      </c>
      <c r="F130" s="154" t="str">
        <f>IF(wskakunin_owner3_JIMU_NAME="",cst_wskakunin_owner3_NAME,IF(wskakunin_owner3_POST="",cst_wskakunin_owner3_NAME,cst_wskakunin_owner3_JIMU_NAME&amp;"　"&amp;cst_wskakunin_owner3_POST&amp;"　"&amp;cst_wskakunin_owner3_NAME))</f>
        <v/>
      </c>
      <c r="H130" s="17"/>
    </row>
    <row r="131" spans="1:8" ht="31.5" customHeight="1">
      <c r="A131" s="227"/>
      <c r="B131" s="229" t="s">
        <v>178</v>
      </c>
      <c r="E131" s="14" t="s">
        <v>3240</v>
      </c>
      <c r="F131" s="154" t="str">
        <f>wskakunin_owner3_JIMU_NAME&amp;IF(wskakunin_owner3_JIMU_NAME="","",CHAR(10))&amp;IF(wskakunin_owner3_POST&amp;wskakunin_owner3_NAME="","",IF(wskakunin_owner3_POST="",wskakunin_owner3_NAME,wskakunin_owner3_POST&amp;"　"&amp;wskakunin_owner3_NAME))</f>
        <v/>
      </c>
      <c r="H131" s="17"/>
    </row>
    <row r="132" spans="1:8" ht="15" customHeight="1">
      <c r="A132" s="50"/>
      <c r="B132" s="153"/>
      <c r="D132" s="34"/>
      <c r="F132" s="17"/>
      <c r="H132" s="17"/>
    </row>
    <row r="133" spans="1:8" ht="15" customHeight="1">
      <c r="A133" s="46" t="s">
        <v>1490</v>
      </c>
      <c r="B133" s="49"/>
      <c r="H133" s="17"/>
    </row>
    <row r="134" spans="1:8" ht="15" customHeight="1">
      <c r="A134" s="84"/>
      <c r="B134" s="78" t="s">
        <v>120</v>
      </c>
      <c r="C134" s="14" t="s">
        <v>1531</v>
      </c>
      <c r="D134" s="154"/>
      <c r="E134" s="14" t="s">
        <v>1532</v>
      </c>
      <c r="F134" s="154" t="str">
        <f>IF(wskakunin_owner4_JIMU_NAME="", "", wskakunin_owner4_JIMU_NAME)</f>
        <v/>
      </c>
      <c r="H134" s="17"/>
    </row>
    <row r="135" spans="1:8" ht="15" customHeight="1">
      <c r="A135" s="84"/>
      <c r="B135" s="78" t="s">
        <v>182</v>
      </c>
      <c r="C135" s="14" t="s">
        <v>1533</v>
      </c>
      <c r="D135" s="154"/>
      <c r="E135" s="14" t="s">
        <v>1534</v>
      </c>
      <c r="F135" s="154" t="str">
        <f>IF(wskakunin_owner4_JIMU_NAME_KANA="","",wskakunin_owner4_JIMU_NAME_KANA)</f>
        <v/>
      </c>
      <c r="H135" s="17"/>
    </row>
    <row r="136" spans="1:8" ht="15" customHeight="1">
      <c r="A136" s="84"/>
      <c r="B136" s="78" t="s">
        <v>119</v>
      </c>
      <c r="C136" s="14" t="s">
        <v>1535</v>
      </c>
      <c r="D136" s="154"/>
      <c r="E136" s="14" t="s">
        <v>1536</v>
      </c>
      <c r="F136" s="154" t="str">
        <f>IF(wskakunin_owner4_POST="", "", wskakunin_owner4_POST)</f>
        <v/>
      </c>
      <c r="H136" s="17"/>
    </row>
    <row r="137" spans="1:8" ht="15" customHeight="1">
      <c r="A137" s="84"/>
      <c r="B137" s="78" t="s">
        <v>183</v>
      </c>
      <c r="C137" s="14" t="s">
        <v>1537</v>
      </c>
      <c r="D137" s="154"/>
      <c r="E137" s="14" t="s">
        <v>1538</v>
      </c>
      <c r="F137" s="154" t="str">
        <f>IF(wskakunin_owner4_POST_KANA="","",wskakunin_owner4_POST_KANA)</f>
        <v/>
      </c>
      <c r="H137" s="17"/>
    </row>
    <row r="138" spans="1:8" ht="15" customHeight="1">
      <c r="A138" s="84"/>
      <c r="B138" s="78" t="s">
        <v>11</v>
      </c>
      <c r="C138" s="14" t="s">
        <v>1539</v>
      </c>
      <c r="D138" s="154"/>
      <c r="E138" s="14" t="s">
        <v>1540</v>
      </c>
      <c r="F138" s="154" t="str">
        <f>IF(wskakunin_owner4_NAME="", "", wskakunin_owner4_NAME)</f>
        <v/>
      </c>
      <c r="H138" s="17"/>
    </row>
    <row r="139" spans="1:8" ht="15" customHeight="1">
      <c r="A139" s="50"/>
      <c r="B139" s="78" t="s">
        <v>184</v>
      </c>
      <c r="C139" s="14" t="s">
        <v>1541</v>
      </c>
      <c r="D139" s="154"/>
      <c r="E139" s="14" t="s">
        <v>1542</v>
      </c>
      <c r="F139" s="154" t="str">
        <f>IF(wskakunin_owner4_NAME_KANA="","",wskakunin_owner4_NAME_KANA)</f>
        <v/>
      </c>
      <c r="H139" s="17"/>
    </row>
    <row r="140" spans="1:8" ht="15" customHeight="1">
      <c r="A140" s="50"/>
      <c r="B140" s="78" t="s">
        <v>12</v>
      </c>
      <c r="C140" s="14" t="s">
        <v>1543</v>
      </c>
      <c r="D140" s="240"/>
      <c r="E140" s="14" t="s">
        <v>1544</v>
      </c>
      <c r="F140" s="154" t="str">
        <f>IF(wskakunin_owner4_ZIP="", "", wskakunin_owner4_ZIP)</f>
        <v/>
      </c>
      <c r="H140" s="17"/>
    </row>
    <row r="141" spans="1:8" ht="15" customHeight="1">
      <c r="A141" s="50"/>
      <c r="B141" s="78" t="s">
        <v>13</v>
      </c>
      <c r="C141" s="14" t="s">
        <v>1545</v>
      </c>
      <c r="D141" s="154"/>
      <c r="E141" s="14" t="s">
        <v>1546</v>
      </c>
      <c r="F141" s="154" t="str">
        <f>IF(wskakunin_owner4__address="", "", wskakunin_owner4__address)</f>
        <v/>
      </c>
      <c r="H141" s="17"/>
    </row>
    <row r="142" spans="1:8" ht="15" customHeight="1">
      <c r="A142" s="50"/>
      <c r="B142" s="78" t="s">
        <v>14</v>
      </c>
      <c r="C142" s="14" t="s">
        <v>1547</v>
      </c>
      <c r="D142" s="240"/>
      <c r="E142" s="14" t="s">
        <v>1548</v>
      </c>
      <c r="F142" s="154" t="str">
        <f>IF(wskakunin_owner4_TEL="", "", wskakunin_owner4_TEL)</f>
        <v/>
      </c>
      <c r="H142" s="17"/>
    </row>
    <row r="143" spans="1:8" ht="15" customHeight="1">
      <c r="A143" s="50"/>
      <c r="B143" s="75" t="s">
        <v>180</v>
      </c>
      <c r="D143" s="34"/>
      <c r="E143" s="14" t="s">
        <v>2726</v>
      </c>
      <c r="F143" s="154" t="str">
        <f>IF(wskakunin_owner4_JIMU_NAME="",cst_wskakunin_owner4_NAME,IF(wskakunin_owner4_POST="",cst_wskakunin_owner4_NAME,cst_wskakunin_owner4_JIMU_NAME&amp;"　"&amp;cst_wskakunin_owner4_POST&amp;"　"&amp;cst_wskakunin_owner4_NAME))</f>
        <v/>
      </c>
      <c r="H143" s="17"/>
    </row>
    <row r="144" spans="1:8" ht="15" customHeight="1">
      <c r="A144" s="50"/>
      <c r="B144" s="153"/>
      <c r="D144" s="34"/>
      <c r="F144" s="17"/>
      <c r="H144" s="17"/>
    </row>
    <row r="145" spans="1:8" ht="15" customHeight="1">
      <c r="A145" s="46" t="s">
        <v>1491</v>
      </c>
      <c r="B145" s="49"/>
      <c r="H145" s="17"/>
    </row>
    <row r="146" spans="1:8" ht="15" customHeight="1">
      <c r="A146" s="84"/>
      <c r="B146" s="78" t="s">
        <v>120</v>
      </c>
      <c r="C146" s="14" t="s">
        <v>1549</v>
      </c>
      <c r="D146" s="154"/>
      <c r="E146" s="14" t="s">
        <v>1550</v>
      </c>
      <c r="F146" s="154" t="str">
        <f>IF(wskakunin_owner5_JIMU_NAME="", "", wskakunin_owner5_JIMU_NAME)</f>
        <v/>
      </c>
      <c r="H146" s="17"/>
    </row>
    <row r="147" spans="1:8" ht="15" customHeight="1">
      <c r="A147" s="84"/>
      <c r="B147" s="78" t="s">
        <v>182</v>
      </c>
      <c r="C147" s="14" t="s">
        <v>1551</v>
      </c>
      <c r="D147" s="154"/>
      <c r="E147" s="14" t="s">
        <v>1552</v>
      </c>
      <c r="F147" s="154" t="str">
        <f>IF(wskakunin_owner5_JIMU_NAME_KANA="","",wskakunin_owner5_JIMU_NAME_KANA)</f>
        <v/>
      </c>
      <c r="H147" s="17"/>
    </row>
    <row r="148" spans="1:8" ht="15" customHeight="1">
      <c r="A148" s="84"/>
      <c r="B148" s="78" t="s">
        <v>119</v>
      </c>
      <c r="C148" s="14" t="s">
        <v>1553</v>
      </c>
      <c r="D148" s="154"/>
      <c r="E148" s="14" t="s">
        <v>1554</v>
      </c>
      <c r="F148" s="154" t="str">
        <f>IF(wskakunin_owner5_POST="", "", wskakunin_owner5_POST)</f>
        <v/>
      </c>
      <c r="H148" s="17"/>
    </row>
    <row r="149" spans="1:8" ht="15" customHeight="1">
      <c r="A149" s="84"/>
      <c r="B149" s="78" t="s">
        <v>183</v>
      </c>
      <c r="C149" s="14" t="s">
        <v>1555</v>
      </c>
      <c r="D149" s="154"/>
      <c r="E149" s="14" t="s">
        <v>1556</v>
      </c>
      <c r="F149" s="154" t="str">
        <f>IF(wskakunin_owner5_POST_KANA="","",wskakunin_owner5_POST_KANA)</f>
        <v/>
      </c>
      <c r="H149" s="17"/>
    </row>
    <row r="150" spans="1:8" ht="15" customHeight="1">
      <c r="A150" s="84"/>
      <c r="B150" s="78" t="s">
        <v>11</v>
      </c>
      <c r="C150" s="14" t="s">
        <v>1557</v>
      </c>
      <c r="D150" s="154"/>
      <c r="E150" s="14" t="s">
        <v>1558</v>
      </c>
      <c r="F150" s="154" t="str">
        <f>IF(wskakunin_owner5_NAME="", "", wskakunin_owner5_NAME)</f>
        <v/>
      </c>
      <c r="H150" s="17"/>
    </row>
    <row r="151" spans="1:8" ht="15" customHeight="1">
      <c r="A151" s="50"/>
      <c r="B151" s="78" t="s">
        <v>184</v>
      </c>
      <c r="C151" s="14" t="s">
        <v>1559</v>
      </c>
      <c r="D151" s="154"/>
      <c r="E151" s="14" t="s">
        <v>1560</v>
      </c>
      <c r="F151" s="154" t="str">
        <f>IF(wskakunin_owner5_NAME_KANA="","",wskakunin_owner5_NAME_KANA)</f>
        <v/>
      </c>
      <c r="H151" s="17"/>
    </row>
    <row r="152" spans="1:8" ht="15" customHeight="1">
      <c r="A152" s="50"/>
      <c r="B152" s="78" t="s">
        <v>12</v>
      </c>
      <c r="C152" s="14" t="s">
        <v>1561</v>
      </c>
      <c r="D152" s="240"/>
      <c r="E152" s="14" t="s">
        <v>1562</v>
      </c>
      <c r="F152" s="154" t="str">
        <f>IF(wskakunin_owner5_ZIP="", "", wskakunin_owner5_ZIP)</f>
        <v/>
      </c>
      <c r="H152" s="17"/>
    </row>
    <row r="153" spans="1:8" ht="15" customHeight="1">
      <c r="A153" s="50"/>
      <c r="B153" s="78" t="s">
        <v>13</v>
      </c>
      <c r="C153" s="14" t="s">
        <v>1563</v>
      </c>
      <c r="D153" s="154"/>
      <c r="E153" s="14" t="s">
        <v>1564</v>
      </c>
      <c r="F153" s="154" t="str">
        <f>IF(wskakunin_owner5__address="", "", wskakunin_owner5__address)</f>
        <v/>
      </c>
      <c r="H153" s="17"/>
    </row>
    <row r="154" spans="1:8" ht="15" customHeight="1">
      <c r="A154" s="50"/>
      <c r="B154" s="78" t="s">
        <v>14</v>
      </c>
      <c r="C154" s="14" t="s">
        <v>1565</v>
      </c>
      <c r="D154" s="240"/>
      <c r="E154" s="14" t="s">
        <v>1566</v>
      </c>
      <c r="F154" s="154" t="str">
        <f>IF(wskakunin_owner5_TEL="", "", wskakunin_owner5_TEL)</f>
        <v/>
      </c>
      <c r="H154" s="17"/>
    </row>
    <row r="155" spans="1:8" ht="15" customHeight="1">
      <c r="A155" s="50"/>
      <c r="B155" s="75" t="s">
        <v>180</v>
      </c>
      <c r="D155" s="34"/>
      <c r="E155" s="14" t="s">
        <v>2727</v>
      </c>
      <c r="F155" s="154" t="str">
        <f>IF(wskakunin_owner5_JIMU_NAME="",cst_wskakunin_owner5_NAME,IF(wskakunin_owner5_POST="",cst_wskakunin_owner5_NAME,cst_wskakunin_owner5_JIMU_NAME&amp;"　"&amp;cst_wskakunin_owner5_POST&amp;"　"&amp;cst_wskakunin_owner5_NAME))</f>
        <v/>
      </c>
      <c r="H155" s="17"/>
    </row>
    <row r="156" spans="1:8" ht="15" customHeight="1">
      <c r="A156" s="50"/>
      <c r="B156" s="153"/>
      <c r="D156" s="34"/>
      <c r="F156" s="17"/>
      <c r="H156" s="17"/>
    </row>
    <row r="157" spans="1:8" ht="15" customHeight="1">
      <c r="A157" s="46" t="s">
        <v>1492</v>
      </c>
      <c r="B157" s="49"/>
      <c r="H157" s="17"/>
    </row>
    <row r="158" spans="1:8" ht="15" customHeight="1">
      <c r="A158" s="84"/>
      <c r="B158" s="78" t="s">
        <v>120</v>
      </c>
      <c r="C158" s="14" t="s">
        <v>1567</v>
      </c>
      <c r="D158" s="154"/>
      <c r="E158" s="14" t="s">
        <v>1568</v>
      </c>
      <c r="F158" s="154" t="str">
        <f>IF(wskakunin_owner6_JIMU_NAME="", "", wskakunin_owner6_JIMU_NAME)</f>
        <v/>
      </c>
      <c r="H158" s="17"/>
    </row>
    <row r="159" spans="1:8" ht="15" customHeight="1">
      <c r="A159" s="84"/>
      <c r="B159" s="78" t="s">
        <v>182</v>
      </c>
      <c r="C159" s="14" t="s">
        <v>1569</v>
      </c>
      <c r="D159" s="154"/>
      <c r="E159" s="14" t="s">
        <v>1570</v>
      </c>
      <c r="F159" s="154" t="str">
        <f>IF(wskakunin_owner6_JIMU_NAME_KANA="","",wskakunin_owner6_JIMU_NAME_KANA)</f>
        <v/>
      </c>
      <c r="H159" s="17"/>
    </row>
    <row r="160" spans="1:8" ht="15" customHeight="1">
      <c r="A160" s="84"/>
      <c r="B160" s="78" t="s">
        <v>119</v>
      </c>
      <c r="C160" s="14" t="s">
        <v>1571</v>
      </c>
      <c r="D160" s="154"/>
      <c r="E160" s="14" t="s">
        <v>1572</v>
      </c>
      <c r="F160" s="154" t="str">
        <f>IF(wskakunin_owner6_POST="", "", wskakunin_owner6_POST)</f>
        <v/>
      </c>
      <c r="H160" s="17"/>
    </row>
    <row r="161" spans="1:8" ht="15" customHeight="1">
      <c r="A161" s="84"/>
      <c r="B161" s="78" t="s">
        <v>183</v>
      </c>
      <c r="C161" s="14" t="s">
        <v>1573</v>
      </c>
      <c r="D161" s="154"/>
      <c r="E161" s="14" t="s">
        <v>1574</v>
      </c>
      <c r="F161" s="154" t="str">
        <f>IF(wskakunin_owner6_POST_KANA="","",wskakunin_owner6_POST_KANA)</f>
        <v/>
      </c>
      <c r="H161" s="17"/>
    </row>
    <row r="162" spans="1:8" ht="15" customHeight="1">
      <c r="A162" s="84"/>
      <c r="B162" s="78" t="s">
        <v>11</v>
      </c>
      <c r="C162" s="14" t="s">
        <v>1575</v>
      </c>
      <c r="D162" s="154"/>
      <c r="E162" s="14" t="s">
        <v>1576</v>
      </c>
      <c r="F162" s="154" t="str">
        <f>IF(wskakunin_owner6_NAME="", "", wskakunin_owner6_NAME)</f>
        <v/>
      </c>
      <c r="H162" s="17"/>
    </row>
    <row r="163" spans="1:8" ht="15" customHeight="1">
      <c r="A163" s="50"/>
      <c r="B163" s="78" t="s">
        <v>184</v>
      </c>
      <c r="C163" s="14" t="s">
        <v>1577</v>
      </c>
      <c r="D163" s="154"/>
      <c r="E163" s="14" t="s">
        <v>1578</v>
      </c>
      <c r="F163" s="154" t="str">
        <f>IF(wskakunin_owner6_NAME_KANA="","",wskakunin_owner6_NAME_KANA)</f>
        <v/>
      </c>
      <c r="H163" s="17"/>
    </row>
    <row r="164" spans="1:8" ht="15" customHeight="1">
      <c r="A164" s="50"/>
      <c r="B164" s="78" t="s">
        <v>12</v>
      </c>
      <c r="C164" s="14" t="s">
        <v>1579</v>
      </c>
      <c r="D164" s="240"/>
      <c r="E164" s="14" t="s">
        <v>1580</v>
      </c>
      <c r="F164" s="154" t="str">
        <f>IF(wskakunin_owner6_ZIP="", "", wskakunin_owner6_ZIP)</f>
        <v/>
      </c>
      <c r="H164" s="17"/>
    </row>
    <row r="165" spans="1:8" ht="15" customHeight="1">
      <c r="A165" s="50"/>
      <c r="B165" s="78" t="s">
        <v>13</v>
      </c>
      <c r="C165" s="14" t="s">
        <v>1581</v>
      </c>
      <c r="D165" s="154"/>
      <c r="E165" s="14" t="s">
        <v>1582</v>
      </c>
      <c r="F165" s="154" t="str">
        <f>IF(wskakunin_owner6__address="", "", wskakunin_owner6__address)</f>
        <v/>
      </c>
      <c r="H165" s="17"/>
    </row>
    <row r="166" spans="1:8" ht="15" customHeight="1">
      <c r="A166" s="50"/>
      <c r="B166" s="78" t="s">
        <v>14</v>
      </c>
      <c r="C166" s="14" t="s">
        <v>1583</v>
      </c>
      <c r="D166" s="240"/>
      <c r="E166" s="14" t="s">
        <v>1584</v>
      </c>
      <c r="F166" s="154" t="str">
        <f>IF(wskakunin_owner6_TEL="", "", wskakunin_owner6_TEL)</f>
        <v/>
      </c>
      <c r="H166" s="17"/>
    </row>
    <row r="167" spans="1:8" ht="15" customHeight="1">
      <c r="A167" s="50"/>
      <c r="B167" s="78" t="s">
        <v>178</v>
      </c>
      <c r="E167" s="14" t="s">
        <v>2728</v>
      </c>
      <c r="F167" s="154" t="str">
        <f>wskakunin_owner6_JIMU_NAME&amp;IF(wskakunin_owner6_JIMU_NAME="","",CHAR(10))&amp;cst_wskakunin_owner6__space2</f>
        <v/>
      </c>
      <c r="H167" s="17"/>
    </row>
    <row r="168" spans="1:8" ht="15" customHeight="1">
      <c r="A168" s="50"/>
      <c r="B168" s="153"/>
      <c r="D168" s="34"/>
      <c r="F168" s="17"/>
      <c r="H168" s="17"/>
    </row>
    <row r="169" spans="1:8" ht="15" customHeight="1">
      <c r="A169" s="46" t="s">
        <v>1493</v>
      </c>
      <c r="B169" s="49"/>
      <c r="H169" s="17"/>
    </row>
    <row r="170" spans="1:8" ht="15" customHeight="1">
      <c r="A170" s="84"/>
      <c r="B170" s="78" t="s">
        <v>120</v>
      </c>
      <c r="C170" s="14" t="s">
        <v>1585</v>
      </c>
      <c r="D170" s="154"/>
      <c r="E170" s="14" t="s">
        <v>1586</v>
      </c>
      <c r="F170" s="154" t="str">
        <f>IF(wskakunin_owner7_JIMU_NAME="", "", wskakunin_owner7_JIMU_NAME)</f>
        <v/>
      </c>
      <c r="H170" s="17"/>
    </row>
    <row r="171" spans="1:8" ht="15" customHeight="1">
      <c r="A171" s="84"/>
      <c r="B171" s="78" t="s">
        <v>182</v>
      </c>
      <c r="C171" s="14" t="s">
        <v>1587</v>
      </c>
      <c r="D171" s="154"/>
      <c r="E171" s="14" t="s">
        <v>1588</v>
      </c>
      <c r="F171" s="154" t="str">
        <f>IF(wskakunin_owner7_JIMU_NAME_KANA="","",wskakunin_owner7_JIMU_NAME_KANA)</f>
        <v/>
      </c>
      <c r="H171" s="17"/>
    </row>
    <row r="172" spans="1:8" ht="15" customHeight="1">
      <c r="A172" s="84"/>
      <c r="B172" s="78" t="s">
        <v>119</v>
      </c>
      <c r="C172" s="14" t="s">
        <v>1589</v>
      </c>
      <c r="D172" s="154"/>
      <c r="E172" s="14" t="s">
        <v>1590</v>
      </c>
      <c r="F172" s="154" t="str">
        <f>IF(wskakunin_owner7_POST="", "", wskakunin_owner7_POST)</f>
        <v/>
      </c>
      <c r="H172" s="17"/>
    </row>
    <row r="173" spans="1:8" ht="15" customHeight="1">
      <c r="A173" s="84"/>
      <c r="B173" s="78" t="s">
        <v>183</v>
      </c>
      <c r="C173" s="14" t="s">
        <v>1591</v>
      </c>
      <c r="D173" s="154"/>
      <c r="E173" s="14" t="s">
        <v>1592</v>
      </c>
      <c r="F173" s="154" t="str">
        <f>IF(wskakunin_owner7_POST_KANA="","",wskakunin_owner7_POST_KANA)</f>
        <v/>
      </c>
      <c r="H173" s="17"/>
    </row>
    <row r="174" spans="1:8" ht="15" customHeight="1">
      <c r="A174" s="84"/>
      <c r="B174" s="78" t="s">
        <v>11</v>
      </c>
      <c r="C174" s="14" t="s">
        <v>1593</v>
      </c>
      <c r="D174" s="154"/>
      <c r="E174" s="14" t="s">
        <v>1594</v>
      </c>
      <c r="F174" s="154" t="str">
        <f>IF(wskakunin_owner7_NAME="", "", wskakunin_owner7_NAME)</f>
        <v/>
      </c>
      <c r="H174" s="17"/>
    </row>
    <row r="175" spans="1:8" ht="15" customHeight="1">
      <c r="A175" s="50"/>
      <c r="B175" s="78" t="s">
        <v>184</v>
      </c>
      <c r="C175" s="14" t="s">
        <v>1595</v>
      </c>
      <c r="D175" s="154"/>
      <c r="E175" s="14" t="s">
        <v>1596</v>
      </c>
      <c r="F175" s="154" t="str">
        <f>IF(wskakunin_owner7_NAME_KANA="","",wskakunin_owner7_NAME_KANA)</f>
        <v/>
      </c>
      <c r="H175" s="17"/>
    </row>
    <row r="176" spans="1:8" ht="15" customHeight="1">
      <c r="A176" s="50"/>
      <c r="B176" s="78" t="s">
        <v>12</v>
      </c>
      <c r="C176" s="14" t="s">
        <v>1597</v>
      </c>
      <c r="D176" s="240"/>
      <c r="E176" s="14" t="s">
        <v>1598</v>
      </c>
      <c r="F176" s="154" t="str">
        <f>IF(wskakunin_owner7_ZIP="", "", wskakunin_owner7_ZIP)</f>
        <v/>
      </c>
      <c r="H176" s="17"/>
    </row>
    <row r="177" spans="1:8" ht="15" customHeight="1">
      <c r="A177" s="50"/>
      <c r="B177" s="78" t="s">
        <v>13</v>
      </c>
      <c r="C177" s="14" t="s">
        <v>1599</v>
      </c>
      <c r="D177" s="154"/>
      <c r="E177" s="14" t="s">
        <v>1600</v>
      </c>
      <c r="F177" s="154" t="str">
        <f>IF(wskakunin_owner7__address="", "", wskakunin_owner7__address)</f>
        <v/>
      </c>
      <c r="H177" s="17"/>
    </row>
    <row r="178" spans="1:8" ht="15" customHeight="1">
      <c r="A178" s="50"/>
      <c r="B178" s="78" t="s">
        <v>14</v>
      </c>
      <c r="C178" s="14" t="s">
        <v>1601</v>
      </c>
      <c r="D178" s="240"/>
      <c r="E178" s="14" t="s">
        <v>1602</v>
      </c>
      <c r="F178" s="154" t="str">
        <f>IF(wskakunin_owner7_TEL="", "", wskakunin_owner7_TEL)</f>
        <v/>
      </c>
      <c r="H178" s="17"/>
    </row>
    <row r="179" spans="1:8" ht="15" customHeight="1">
      <c r="A179" s="50"/>
      <c r="B179" s="153"/>
      <c r="D179" s="34"/>
      <c r="F179" s="17"/>
      <c r="H179" s="17"/>
    </row>
    <row r="180" spans="1:8" ht="15" customHeight="1">
      <c r="A180" s="46" t="s">
        <v>1494</v>
      </c>
      <c r="B180" s="49"/>
      <c r="H180" s="17"/>
    </row>
    <row r="181" spans="1:8" ht="15" customHeight="1">
      <c r="A181" s="84"/>
      <c r="B181" s="78" t="s">
        <v>120</v>
      </c>
      <c r="C181" s="14" t="s">
        <v>1603</v>
      </c>
      <c r="D181" s="154"/>
      <c r="E181" s="14" t="s">
        <v>1604</v>
      </c>
      <c r="F181" s="154" t="str">
        <f>IF(wskakunin_owner8_JIMU_NAME="", "", wskakunin_owner8_JIMU_NAME)</f>
        <v/>
      </c>
      <c r="H181" s="17"/>
    </row>
    <row r="182" spans="1:8" ht="15" customHeight="1">
      <c r="A182" s="84"/>
      <c r="B182" s="78" t="s">
        <v>182</v>
      </c>
      <c r="C182" s="14" t="s">
        <v>1605</v>
      </c>
      <c r="D182" s="154"/>
      <c r="E182" s="14" t="s">
        <v>1606</v>
      </c>
      <c r="F182" s="154" t="str">
        <f>IF(wskakunin_owner8_JIMU_NAME_KANA="","",wskakunin_owner8_JIMU_NAME_KANA)</f>
        <v/>
      </c>
      <c r="H182" s="17"/>
    </row>
    <row r="183" spans="1:8" ht="15" customHeight="1">
      <c r="A183" s="84"/>
      <c r="B183" s="78" t="s">
        <v>119</v>
      </c>
      <c r="C183" s="14" t="s">
        <v>1607</v>
      </c>
      <c r="D183" s="154"/>
      <c r="E183" s="14" t="s">
        <v>1608</v>
      </c>
      <c r="F183" s="154" t="str">
        <f>IF(wskakunin_owner8_POST="", "", wskakunin_owner8_POST)</f>
        <v/>
      </c>
      <c r="H183" s="17"/>
    </row>
    <row r="184" spans="1:8" ht="15" customHeight="1">
      <c r="A184" s="84"/>
      <c r="B184" s="78" t="s">
        <v>183</v>
      </c>
      <c r="C184" s="14" t="s">
        <v>1609</v>
      </c>
      <c r="D184" s="154"/>
      <c r="E184" s="14" t="s">
        <v>1610</v>
      </c>
      <c r="F184" s="154" t="str">
        <f>IF(wskakunin_owner8_POST_KANA="","",wskakunin_owner8_POST_KANA)</f>
        <v/>
      </c>
      <c r="H184" s="17"/>
    </row>
    <row r="185" spans="1:8" ht="15" customHeight="1">
      <c r="A185" s="84"/>
      <c r="B185" s="78" t="s">
        <v>11</v>
      </c>
      <c r="C185" s="14" t="s">
        <v>1611</v>
      </c>
      <c r="D185" s="154"/>
      <c r="E185" s="14" t="s">
        <v>1612</v>
      </c>
      <c r="F185" s="154" t="str">
        <f>IF(wskakunin_owner8_NAME="", "", wskakunin_owner8_NAME)</f>
        <v/>
      </c>
      <c r="H185" s="17"/>
    </row>
    <row r="186" spans="1:8" ht="15" customHeight="1">
      <c r="A186" s="50"/>
      <c r="B186" s="78" t="s">
        <v>184</v>
      </c>
      <c r="C186" s="14" t="s">
        <v>1613</v>
      </c>
      <c r="D186" s="154"/>
      <c r="E186" s="14" t="s">
        <v>1614</v>
      </c>
      <c r="F186" s="154" t="str">
        <f>IF(wskakunin_owner8_NAME_KANA="","",wskakunin_owner8_NAME_KANA)</f>
        <v/>
      </c>
      <c r="H186" s="17"/>
    </row>
    <row r="187" spans="1:8" ht="15" customHeight="1">
      <c r="A187" s="50"/>
      <c r="B187" s="78" t="s">
        <v>12</v>
      </c>
      <c r="C187" s="14" t="s">
        <v>1615</v>
      </c>
      <c r="D187" s="240"/>
      <c r="E187" s="14" t="s">
        <v>1616</v>
      </c>
      <c r="F187" s="154" t="str">
        <f>IF(wskakunin_owner8_ZIP="", "", wskakunin_owner8_ZIP)</f>
        <v/>
      </c>
      <c r="H187" s="17"/>
    </row>
    <row r="188" spans="1:8" ht="15" customHeight="1">
      <c r="A188" s="50"/>
      <c r="B188" s="78" t="s">
        <v>13</v>
      </c>
      <c r="C188" s="14" t="s">
        <v>1617</v>
      </c>
      <c r="D188" s="154"/>
      <c r="E188" s="14" t="s">
        <v>1618</v>
      </c>
      <c r="F188" s="154" t="str">
        <f>IF(wskakunin_owner8__address="", "", wskakunin_owner8__address)</f>
        <v/>
      </c>
      <c r="H188" s="17"/>
    </row>
    <row r="189" spans="1:8" ht="15" customHeight="1">
      <c r="A189" s="50"/>
      <c r="B189" s="78" t="s">
        <v>14</v>
      </c>
      <c r="C189" s="14" t="s">
        <v>1619</v>
      </c>
      <c r="D189" s="240"/>
      <c r="E189" s="14" t="s">
        <v>1620</v>
      </c>
      <c r="F189" s="154" t="str">
        <f>IF(wskakunin_owner8_TEL="", "", wskakunin_owner8_TEL)</f>
        <v/>
      </c>
      <c r="H189" s="17"/>
    </row>
    <row r="190" spans="1:8" ht="15" customHeight="1">
      <c r="A190" s="50"/>
      <c r="B190" s="153"/>
      <c r="D190" s="34"/>
      <c r="F190" s="17"/>
      <c r="H190" s="17"/>
    </row>
    <row r="191" spans="1:8" ht="15" customHeight="1">
      <c r="A191" s="46" t="s">
        <v>1495</v>
      </c>
      <c r="B191" s="49"/>
      <c r="H191" s="17"/>
    </row>
    <row r="192" spans="1:8" ht="15" customHeight="1">
      <c r="A192" s="84"/>
      <c r="B192" s="78" t="s">
        <v>120</v>
      </c>
      <c r="C192" s="14" t="s">
        <v>1621</v>
      </c>
      <c r="D192" s="154"/>
      <c r="E192" s="14" t="s">
        <v>1622</v>
      </c>
      <c r="F192" s="154" t="str">
        <f>IF(wskakunin_owner9_JIMU_NAME="", "", wskakunin_owner9_JIMU_NAME)</f>
        <v/>
      </c>
      <c r="H192" s="17"/>
    </row>
    <row r="193" spans="1:8" ht="15" customHeight="1">
      <c r="A193" s="84"/>
      <c r="B193" s="78" t="s">
        <v>182</v>
      </c>
      <c r="C193" s="14" t="s">
        <v>1623</v>
      </c>
      <c r="D193" s="154"/>
      <c r="E193" s="14" t="s">
        <v>1624</v>
      </c>
      <c r="F193" s="154" t="str">
        <f>IF(wskakunin_owner9_JIMU_NAME_KANA="","",wskakunin_owner9_JIMU_NAME_KANA)</f>
        <v/>
      </c>
      <c r="H193" s="17"/>
    </row>
    <row r="194" spans="1:8" ht="15" customHeight="1">
      <c r="A194" s="84"/>
      <c r="B194" s="78" t="s">
        <v>119</v>
      </c>
      <c r="C194" s="14" t="s">
        <v>1625</v>
      </c>
      <c r="D194" s="154"/>
      <c r="E194" s="14" t="s">
        <v>1626</v>
      </c>
      <c r="F194" s="154" t="str">
        <f>IF(wskakunin_owner9_POST="", "", wskakunin_owner9_POST)</f>
        <v/>
      </c>
      <c r="H194" s="17"/>
    </row>
    <row r="195" spans="1:8" ht="15" customHeight="1">
      <c r="A195" s="84"/>
      <c r="B195" s="78" t="s">
        <v>183</v>
      </c>
      <c r="C195" s="14" t="s">
        <v>1627</v>
      </c>
      <c r="D195" s="154"/>
      <c r="E195" s="14" t="s">
        <v>1628</v>
      </c>
      <c r="F195" s="154" t="str">
        <f>IF(wskakunin_owner9_POST_KANA="","",wskakunin_owner9_POST_KANA)</f>
        <v/>
      </c>
      <c r="H195" s="17"/>
    </row>
    <row r="196" spans="1:8" ht="15" customHeight="1">
      <c r="A196" s="84"/>
      <c r="B196" s="78" t="s">
        <v>11</v>
      </c>
      <c r="C196" s="14" t="s">
        <v>1629</v>
      </c>
      <c r="D196" s="154"/>
      <c r="E196" s="14" t="s">
        <v>1630</v>
      </c>
      <c r="F196" s="154" t="str">
        <f>IF(wskakunin_owner9_NAME="", "", wskakunin_owner9_NAME)</f>
        <v/>
      </c>
      <c r="H196" s="17"/>
    </row>
    <row r="197" spans="1:8" ht="15" customHeight="1">
      <c r="A197" s="50"/>
      <c r="B197" s="78" t="s">
        <v>184</v>
      </c>
      <c r="C197" s="14" t="s">
        <v>1631</v>
      </c>
      <c r="D197" s="154"/>
      <c r="E197" s="14" t="s">
        <v>1632</v>
      </c>
      <c r="F197" s="154" t="str">
        <f>IF(wskakunin_owner9_NAME_KANA="","",wskakunin_owner9_NAME_KANA)</f>
        <v/>
      </c>
      <c r="H197" s="17"/>
    </row>
    <row r="198" spans="1:8" ht="15" customHeight="1">
      <c r="A198" s="50"/>
      <c r="B198" s="78" t="s">
        <v>12</v>
      </c>
      <c r="C198" s="14" t="s">
        <v>1633</v>
      </c>
      <c r="D198" s="240"/>
      <c r="E198" s="14" t="s">
        <v>1634</v>
      </c>
      <c r="F198" s="154" t="str">
        <f>IF(wskakunin_owner9_ZIP="", "", wskakunin_owner9_ZIP)</f>
        <v/>
      </c>
      <c r="H198" s="17"/>
    </row>
    <row r="199" spans="1:8" ht="15" customHeight="1">
      <c r="A199" s="50"/>
      <c r="B199" s="78" t="s">
        <v>13</v>
      </c>
      <c r="C199" s="14" t="s">
        <v>1635</v>
      </c>
      <c r="D199" s="154"/>
      <c r="E199" s="14" t="s">
        <v>1636</v>
      </c>
      <c r="F199" s="154" t="str">
        <f>IF(wskakunin_owner9__address="", "", wskakunin_owner9__address)</f>
        <v/>
      </c>
      <c r="H199" s="17"/>
    </row>
    <row r="200" spans="1:8" ht="15" customHeight="1">
      <c r="A200" s="50"/>
      <c r="B200" s="78" t="s">
        <v>14</v>
      </c>
      <c r="C200" s="14" t="s">
        <v>1637</v>
      </c>
      <c r="D200" s="240"/>
      <c r="E200" s="14" t="s">
        <v>1638</v>
      </c>
      <c r="F200" s="154" t="str">
        <f>IF(wskakunin_owner9_TEL="", "", wskakunin_owner9_TEL)</f>
        <v/>
      </c>
      <c r="H200" s="17"/>
    </row>
    <row r="201" spans="1:8" ht="15" customHeight="1">
      <c r="A201" s="50"/>
      <c r="B201" s="153"/>
      <c r="D201" s="34"/>
      <c r="F201" s="17"/>
      <c r="H201" s="17"/>
    </row>
    <row r="202" spans="1:8" ht="15" customHeight="1">
      <c r="A202" s="52" t="s">
        <v>128</v>
      </c>
      <c r="B202" s="112"/>
      <c r="G202" s="17"/>
      <c r="H202" s="17"/>
    </row>
    <row r="203" spans="1:8" ht="15" customHeight="1">
      <c r="A203" s="113"/>
      <c r="B203" s="77" t="s">
        <v>627</v>
      </c>
      <c r="C203" s="14" t="s">
        <v>593</v>
      </c>
      <c r="D203" s="246" t="s">
        <v>3269</v>
      </c>
      <c r="E203" s="14" t="s">
        <v>174</v>
      </c>
      <c r="F203" s="246" t="str">
        <f>IF(wskakunin_dairi1__sikaku="", "", wskakunin_dairi1__sikaku)</f>
        <v>一級建築士大臣登録第291061号</v>
      </c>
      <c r="G203" s="17"/>
      <c r="H203" s="17"/>
    </row>
    <row r="204" spans="1:8" ht="15" customHeight="1">
      <c r="A204" s="113"/>
      <c r="B204" s="77" t="s">
        <v>628</v>
      </c>
      <c r="C204" s="14" t="s">
        <v>625</v>
      </c>
      <c r="D204" s="246" t="s">
        <v>203</v>
      </c>
      <c r="E204" s="14" t="s">
        <v>650</v>
      </c>
      <c r="F204" s="246" t="str">
        <f>IF(wskakunin_dairi1_SIKAKU__label="","",wskakunin_dairi1_SIKAKU__label)</f>
        <v>一級</v>
      </c>
      <c r="G204" s="17"/>
      <c r="H204" s="17"/>
    </row>
    <row r="205" spans="1:8" ht="15" customHeight="1">
      <c r="A205" s="113"/>
      <c r="B205" s="77" t="s">
        <v>623</v>
      </c>
      <c r="C205" s="14" t="s">
        <v>1441</v>
      </c>
      <c r="D205" s="246" t="s">
        <v>228</v>
      </c>
      <c r="E205" s="14" t="s">
        <v>651</v>
      </c>
      <c r="F205" s="246" t="str">
        <f>IF(wskakunin_dairi1_TOUROKU_KIKAN__label="","",wskakunin_dairi1_TOUROKU_KIKAN__label)</f>
        <v>大臣</v>
      </c>
      <c r="G205" s="17"/>
      <c r="H205" s="17"/>
    </row>
    <row r="206" spans="1:8" ht="15" customHeight="1">
      <c r="A206" s="113"/>
      <c r="B206" s="77" t="s">
        <v>624</v>
      </c>
      <c r="C206" s="14" t="s">
        <v>626</v>
      </c>
      <c r="D206" s="248" t="s">
        <v>3273</v>
      </c>
      <c r="E206" s="14" t="s">
        <v>649</v>
      </c>
      <c r="F206" s="246" t="str">
        <f>IF(wskakunin_dairi1_KENTIKUSI_NO="","",wskakunin_dairi1_KENTIKUSI_NO)</f>
        <v>291061</v>
      </c>
      <c r="G206" s="17"/>
      <c r="H206" s="17"/>
    </row>
    <row r="207" spans="1:8" ht="15" customHeight="1">
      <c r="A207" s="61"/>
      <c r="B207" s="77" t="s">
        <v>11</v>
      </c>
      <c r="C207" s="14" t="s">
        <v>155</v>
      </c>
      <c r="D207" s="246" t="s">
        <v>3274</v>
      </c>
      <c r="E207" s="14" t="s">
        <v>175</v>
      </c>
      <c r="F207" s="246" t="str">
        <f>IF(wskakunin_dairi1_NAME="", "", wskakunin_dairi1_NAME)</f>
        <v>木村　賢</v>
      </c>
      <c r="G207" s="17"/>
      <c r="H207" s="17"/>
    </row>
    <row r="208" spans="1:8" ht="15" customHeight="1">
      <c r="A208" s="61"/>
      <c r="B208" s="77" t="s">
        <v>124</v>
      </c>
      <c r="C208" s="14" t="s">
        <v>156</v>
      </c>
      <c r="D208" s="246"/>
      <c r="E208" s="14" t="s">
        <v>176</v>
      </c>
      <c r="F208" s="246" t="str">
        <f>IF(wskakunin_dairi1_NAME_KANA="", "", wskakunin_dairi1_NAME_KANA)</f>
        <v/>
      </c>
      <c r="G208" s="17"/>
      <c r="H208" s="17"/>
    </row>
    <row r="209" spans="1:8" ht="15" customHeight="1">
      <c r="A209" s="61"/>
      <c r="B209" s="77" t="s">
        <v>629</v>
      </c>
      <c r="C209" s="14" t="s">
        <v>632</v>
      </c>
      <c r="D209" s="246" t="s">
        <v>3270</v>
      </c>
      <c r="E209" s="14" t="s">
        <v>177</v>
      </c>
      <c r="F209" s="246" t="str">
        <f>IF(wskakunin_dairi1_JIMU__sikaku="", "", wskakunin_dairi1_JIMU__sikaku)</f>
        <v>一級建築士事務所静岡県知事登録第(6)4774号</v>
      </c>
      <c r="G209" s="17"/>
      <c r="H209" s="17"/>
    </row>
    <row r="210" spans="1:8" ht="15" customHeight="1">
      <c r="A210" s="61"/>
      <c r="B210" s="77" t="s">
        <v>121</v>
      </c>
      <c r="C210" s="14" t="s">
        <v>633</v>
      </c>
      <c r="D210" s="246" t="s">
        <v>203</v>
      </c>
      <c r="E210" s="14" t="s">
        <v>1483</v>
      </c>
      <c r="F210" s="246" t="str">
        <f>IF(wskakunin_dairi1_JIMU_SIKAKU__label="","",wskakunin_dairi1_JIMU_SIKAKU__label)</f>
        <v>一級</v>
      </c>
      <c r="G210" s="17"/>
      <c r="H210" s="17"/>
    </row>
    <row r="211" spans="1:8" ht="15" customHeight="1">
      <c r="A211" s="61"/>
      <c r="B211" s="77" t="s">
        <v>630</v>
      </c>
      <c r="C211" s="14" t="s">
        <v>1440</v>
      </c>
      <c r="D211" s="246" t="s">
        <v>3265</v>
      </c>
      <c r="E211" s="14" t="s">
        <v>652</v>
      </c>
      <c r="F211" s="246" t="str">
        <f>IF(wskakunin_dairi1_JIMU_TOUROKU_KIKAN__label="","",wskakunin_dairi1_JIMU_TOUROKU_KIKAN__label)</f>
        <v>静岡県</v>
      </c>
      <c r="G211" s="17"/>
      <c r="H211" s="17"/>
    </row>
    <row r="212" spans="1:8" ht="15" customHeight="1">
      <c r="A212" s="61"/>
      <c r="B212" s="77" t="s">
        <v>631</v>
      </c>
      <c r="C212" s="14" t="s">
        <v>634</v>
      </c>
      <c r="D212" s="248" t="s">
        <v>3272</v>
      </c>
      <c r="E212" s="14" t="s">
        <v>653</v>
      </c>
      <c r="F212" s="246" t="str">
        <f>IF(wskakunin_dairi1_JIMU_NO="","",wskakunin_dairi1_JIMU_NO)</f>
        <v>(6)4774</v>
      </c>
      <c r="G212" s="17"/>
      <c r="H212" s="17"/>
    </row>
    <row r="213" spans="1:8" ht="15" customHeight="1">
      <c r="A213" s="61"/>
      <c r="B213" s="77" t="s">
        <v>122</v>
      </c>
      <c r="C213" s="14" t="s">
        <v>157</v>
      </c>
      <c r="D213" s="246" t="s">
        <v>3271</v>
      </c>
      <c r="E213" s="14" t="s">
        <v>186</v>
      </c>
      <c r="F213" s="246" t="str">
        <f>IF(wskakunin_dairi1_JIMU_NAME="", "",wskakunin_dairi1_JIMU_NAME)</f>
        <v>株式会社山田工務店　一級建築士事務所</v>
      </c>
      <c r="G213" s="17"/>
      <c r="H213" s="17"/>
    </row>
    <row r="214" spans="1:8" ht="15" customHeight="1">
      <c r="A214" s="61"/>
      <c r="B214" s="77" t="s">
        <v>12</v>
      </c>
      <c r="C214" s="14" t="s">
        <v>158</v>
      </c>
      <c r="D214" s="248" t="s">
        <v>3276</v>
      </c>
      <c r="E214" s="14" t="s">
        <v>187</v>
      </c>
      <c r="F214" s="246" t="str">
        <f>IF(wskakunin_dairi1_ZIP="", "", wskakunin_dairi1_ZIP)</f>
        <v>425-0074</v>
      </c>
      <c r="G214" s="17"/>
      <c r="H214" s="17"/>
    </row>
    <row r="215" spans="1:8" ht="15" customHeight="1">
      <c r="A215" s="61"/>
      <c r="B215" s="77" t="s">
        <v>17</v>
      </c>
      <c r="C215" s="14" t="s">
        <v>159</v>
      </c>
      <c r="D215" s="246" t="s">
        <v>3268</v>
      </c>
      <c r="E215" s="14" t="s">
        <v>188</v>
      </c>
      <c r="F215" s="246" t="str">
        <f>IF(wskakunin_dairi1__address="", "", wskakunin_dairi1__address)</f>
        <v>静岡県焼津市柳新屋648-2</v>
      </c>
      <c r="G215" s="17"/>
      <c r="H215" s="17"/>
    </row>
    <row r="216" spans="1:8" ht="15" customHeight="1">
      <c r="A216" s="61"/>
      <c r="B216" s="77" t="s">
        <v>14</v>
      </c>
      <c r="C216" s="14" t="s">
        <v>160</v>
      </c>
      <c r="D216" s="248" t="s">
        <v>3275</v>
      </c>
      <c r="E216" s="14" t="s">
        <v>189</v>
      </c>
      <c r="F216" s="246" t="str">
        <f>IF(wskakunin_dairi1_TEL="", "", wskakunin_dairi1_TEL)</f>
        <v>054-621-5656</v>
      </c>
      <c r="G216" s="17"/>
      <c r="H216" s="17"/>
    </row>
    <row r="217" spans="1:8" ht="15" customHeight="1">
      <c r="A217" s="61"/>
      <c r="B217" s="77" t="s">
        <v>699</v>
      </c>
      <c r="C217" s="14" t="s">
        <v>700</v>
      </c>
      <c r="D217" s="248"/>
      <c r="E217" s="14" t="s">
        <v>701</v>
      </c>
      <c r="F217" s="246" t="str">
        <f>IF(wskakunin_dairi1_FAX="", "", wskakunin_dairi1_FAX)</f>
        <v/>
      </c>
      <c r="G217" s="17"/>
      <c r="H217" s="17"/>
    </row>
    <row r="218" spans="1:8" ht="15" customHeight="1">
      <c r="A218" s="61"/>
      <c r="B218" s="114" t="s">
        <v>181</v>
      </c>
      <c r="D218" s="17"/>
      <c r="E218" s="14" t="s">
        <v>198</v>
      </c>
      <c r="F218" s="246" t="str">
        <f>IF(wskakunin_dairi1_NAME&amp;wskakunin_dairi1_JIMU_NAME="","",IF(wskakunin_dairi1_JIMU_NAME="",wskakunin_dairi1_NAME,wskakunin_dairi1_JIMU_NAME&amp;"　"&amp;wskakunin_dairi1_NAME))</f>
        <v>株式会社山田工務店　一級建築士事務所　木村　賢</v>
      </c>
      <c r="G218" s="17"/>
      <c r="H218" s="17"/>
    </row>
    <row r="219" spans="1:8" ht="15" customHeight="1">
      <c r="A219" s="62"/>
      <c r="B219" s="115"/>
      <c r="D219" s="34"/>
      <c r="F219" s="17"/>
      <c r="G219" s="17"/>
      <c r="H219" s="17"/>
    </row>
    <row r="220" spans="1:8" ht="15" customHeight="1">
      <c r="A220" s="52" t="s">
        <v>1639</v>
      </c>
      <c r="B220" s="112"/>
      <c r="G220" s="17"/>
      <c r="H220" s="17"/>
    </row>
    <row r="221" spans="1:8" ht="15" customHeight="1">
      <c r="A221" s="113"/>
      <c r="B221" s="77" t="s">
        <v>627</v>
      </c>
      <c r="C221" s="14" t="s">
        <v>1643</v>
      </c>
      <c r="D221" s="246"/>
      <c r="E221" s="14" t="s">
        <v>1644</v>
      </c>
      <c r="F221" s="246" t="str">
        <f>IF(wskakunin_dairi2__sikaku="", "", wskakunin_dairi2__sikaku)</f>
        <v/>
      </c>
      <c r="H221" s="17"/>
    </row>
    <row r="222" spans="1:8" ht="15" customHeight="1">
      <c r="A222" s="113"/>
      <c r="B222" s="77" t="s">
        <v>628</v>
      </c>
      <c r="C222" s="14" t="s">
        <v>1645</v>
      </c>
      <c r="D222" s="246"/>
      <c r="E222" s="14" t="s">
        <v>1646</v>
      </c>
      <c r="F222" s="246" t="str">
        <f>IF(wskakunin_dairi2_SIKAKU__label="","",wskakunin_dairi2_SIKAKU__label)</f>
        <v/>
      </c>
      <c r="H222" s="17"/>
    </row>
    <row r="223" spans="1:8" ht="15" customHeight="1">
      <c r="A223" s="113"/>
      <c r="B223" s="77" t="s">
        <v>623</v>
      </c>
      <c r="C223" s="14" t="s">
        <v>1647</v>
      </c>
      <c r="D223" s="246"/>
      <c r="E223" s="14" t="s">
        <v>1648</v>
      </c>
      <c r="F223" s="246" t="str">
        <f>IF(wskakunin_dairi2_TOUROKU_KIKAN__label="","",wskakunin_dairi2_TOUROKU_KIKAN__label)</f>
        <v/>
      </c>
      <c r="H223" s="17"/>
    </row>
    <row r="224" spans="1:8" ht="15" customHeight="1">
      <c r="A224" s="113"/>
      <c r="B224" s="77" t="s">
        <v>624</v>
      </c>
      <c r="C224" s="14" t="s">
        <v>1649</v>
      </c>
      <c r="D224" s="248"/>
      <c r="E224" s="14" t="s">
        <v>1650</v>
      </c>
      <c r="F224" s="246" t="str">
        <f>IF(wskakunin_dairi2_KENTIKUSI_NO="","",wskakunin_dairi2_KENTIKUSI_NO)</f>
        <v/>
      </c>
      <c r="H224" s="17"/>
    </row>
    <row r="225" spans="1:8" ht="15" customHeight="1">
      <c r="A225" s="61"/>
      <c r="B225" s="77" t="s">
        <v>11</v>
      </c>
      <c r="C225" s="14" t="s">
        <v>1651</v>
      </c>
      <c r="D225" s="246"/>
      <c r="E225" s="14" t="s">
        <v>1652</v>
      </c>
      <c r="F225" s="246" t="str">
        <f>IF(wskakunin_dairi2_NAME="", "", wskakunin_dairi2_NAME)</f>
        <v/>
      </c>
      <c r="H225" s="17"/>
    </row>
    <row r="226" spans="1:8" ht="15" customHeight="1">
      <c r="A226" s="61"/>
      <c r="B226" s="77" t="s">
        <v>124</v>
      </c>
      <c r="C226" s="14" t="s">
        <v>1653</v>
      </c>
      <c r="D226" s="246"/>
      <c r="E226" s="14" t="s">
        <v>1654</v>
      </c>
      <c r="F226" s="246" t="str">
        <f>IF(wskakunin_dairi2_NAME_KANA="", "", wskakunin_dairi2_NAME_KANA)</f>
        <v/>
      </c>
      <c r="H226" s="17"/>
    </row>
    <row r="227" spans="1:8" ht="15" customHeight="1">
      <c r="A227" s="61"/>
      <c r="B227" s="77" t="s">
        <v>629</v>
      </c>
      <c r="C227" s="14" t="s">
        <v>1655</v>
      </c>
      <c r="D227" s="246"/>
      <c r="E227" s="14" t="s">
        <v>1656</v>
      </c>
      <c r="F227" s="246" t="str">
        <f>IF(wskakunin_dairi2_JIMU__sikaku="", "", wskakunin_dairi2_JIMU__sikaku)</f>
        <v/>
      </c>
      <c r="H227" s="17"/>
    </row>
    <row r="228" spans="1:8" ht="15" customHeight="1">
      <c r="A228" s="61"/>
      <c r="B228" s="77" t="s">
        <v>121</v>
      </c>
      <c r="C228" s="14" t="s">
        <v>1657</v>
      </c>
      <c r="D228" s="246"/>
      <c r="E228" s="14" t="s">
        <v>1658</v>
      </c>
      <c r="F228" s="246" t="str">
        <f>IF(wskakunin_dairi2_JIMU_SIKAKU__label="","",wskakunin_dairi2_JIMU_SIKAKU__label)</f>
        <v/>
      </c>
      <c r="H228" s="17"/>
    </row>
    <row r="229" spans="1:8" ht="15" customHeight="1">
      <c r="A229" s="61"/>
      <c r="B229" s="77" t="s">
        <v>630</v>
      </c>
      <c r="C229" s="14" t="s">
        <v>1659</v>
      </c>
      <c r="D229" s="246"/>
      <c r="E229" s="14" t="s">
        <v>1660</v>
      </c>
      <c r="F229" s="246" t="str">
        <f>IF(wskakunin_dairi2_JIMU_TOUROKU_KIKAN__label="","",wskakunin_dairi2_JIMU_TOUROKU_KIKAN__label)</f>
        <v/>
      </c>
      <c r="H229" s="17"/>
    </row>
    <row r="230" spans="1:8" ht="15" customHeight="1">
      <c r="A230" s="61"/>
      <c r="B230" s="77" t="s">
        <v>631</v>
      </c>
      <c r="C230" s="14" t="s">
        <v>1661</v>
      </c>
      <c r="D230" s="248"/>
      <c r="E230" s="14" t="s">
        <v>1662</v>
      </c>
      <c r="F230" s="246" t="str">
        <f>IF(wskakunin_dairi2_JIMU_NO="","",wskakunin_dairi2_JIMU_NO)</f>
        <v/>
      </c>
      <c r="H230" s="17"/>
    </row>
    <row r="231" spans="1:8" ht="15" customHeight="1">
      <c r="A231" s="61"/>
      <c r="B231" s="77" t="s">
        <v>122</v>
      </c>
      <c r="C231" s="14" t="s">
        <v>1663</v>
      </c>
      <c r="D231" s="246"/>
      <c r="E231" s="14" t="s">
        <v>1664</v>
      </c>
      <c r="F231" s="246" t="str">
        <f>IF(wskakunin_dairi2_JIMU_NAME="", "",wskakunin_dairi2_JIMU_NAME)</f>
        <v/>
      </c>
      <c r="H231" s="17"/>
    </row>
    <row r="232" spans="1:8" ht="15" customHeight="1">
      <c r="A232" s="61"/>
      <c r="B232" s="77" t="s">
        <v>12</v>
      </c>
      <c r="C232" s="14" t="s">
        <v>1665</v>
      </c>
      <c r="D232" s="248"/>
      <c r="E232" s="14" t="s">
        <v>1666</v>
      </c>
      <c r="F232" s="246" t="str">
        <f>IF(wskakunin_dairi2_ZIP="", "", wskakunin_dairi2_ZIP)</f>
        <v/>
      </c>
      <c r="H232" s="17"/>
    </row>
    <row r="233" spans="1:8" ht="15" customHeight="1">
      <c r="A233" s="61"/>
      <c r="B233" s="77" t="s">
        <v>17</v>
      </c>
      <c r="C233" s="14" t="s">
        <v>1667</v>
      </c>
      <c r="D233" s="246"/>
      <c r="E233" s="14" t="s">
        <v>1668</v>
      </c>
      <c r="F233" s="246" t="str">
        <f>IF(wskakunin_dairi2__address="", "", wskakunin_dairi2__address)</f>
        <v/>
      </c>
      <c r="H233" s="17"/>
    </row>
    <row r="234" spans="1:8" ht="15" customHeight="1">
      <c r="A234" s="61"/>
      <c r="B234" s="77" t="s">
        <v>14</v>
      </c>
      <c r="C234" s="14" t="s">
        <v>1669</v>
      </c>
      <c r="D234" s="248"/>
      <c r="E234" s="14" t="s">
        <v>1670</v>
      </c>
      <c r="F234" s="246" t="str">
        <f>IF(wskakunin_dairi2_TEL="", "", wskakunin_dairi2_TEL)</f>
        <v/>
      </c>
      <c r="H234" s="17"/>
    </row>
    <row r="235" spans="1:8" ht="15" customHeight="1">
      <c r="A235" s="61"/>
      <c r="B235" s="77" t="s">
        <v>699</v>
      </c>
      <c r="C235" s="14" t="s">
        <v>1671</v>
      </c>
      <c r="D235" s="248"/>
      <c r="E235" s="14" t="s">
        <v>1672</v>
      </c>
      <c r="F235" s="246" t="str">
        <f>IF(wskakunin_dairi2_FAX="", "", wskakunin_dairi2_FAX)</f>
        <v/>
      </c>
      <c r="H235" s="17"/>
    </row>
    <row r="236" spans="1:8" ht="15" customHeight="1">
      <c r="A236" s="61"/>
      <c r="B236" s="114" t="s">
        <v>181</v>
      </c>
      <c r="D236" s="17"/>
      <c r="E236" s="14" t="s">
        <v>1673</v>
      </c>
      <c r="F236" s="246" t="str">
        <f>IF(wskakunin_dairi2_NAME&amp;wskakunin_dairi2_JIMU_NAME="","",IF(wskakunin_dairi2_JIMU_NAME="",wskakunin_dairi2_NAME,wskakunin_dairi2_JIMU_NAME&amp;"　"&amp;wskakunin_dairi2_NAME))</f>
        <v/>
      </c>
      <c r="H236" s="17"/>
    </row>
    <row r="237" spans="1:8" ht="15" customHeight="1">
      <c r="A237" s="62"/>
      <c r="B237" s="115"/>
      <c r="D237" s="34"/>
      <c r="F237" s="17"/>
      <c r="H237" s="17"/>
    </row>
    <row r="238" spans="1:8" ht="15" customHeight="1">
      <c r="A238" s="52" t="s">
        <v>1640</v>
      </c>
      <c r="B238" s="112"/>
      <c r="H238" s="17"/>
    </row>
    <row r="239" spans="1:8" ht="15" customHeight="1">
      <c r="A239" s="113"/>
      <c r="B239" s="77" t="s">
        <v>627</v>
      </c>
      <c r="C239" s="14" t="s">
        <v>1674</v>
      </c>
      <c r="D239" s="246"/>
      <c r="E239" s="14" t="s">
        <v>1675</v>
      </c>
      <c r="F239" s="246" t="str">
        <f>IF(wskakunin_dairi3__sikaku="", "", wskakunin_dairi3__sikaku)</f>
        <v/>
      </c>
      <c r="H239" s="17"/>
    </row>
    <row r="240" spans="1:8" ht="15" customHeight="1">
      <c r="A240" s="113"/>
      <c r="B240" s="77" t="s">
        <v>628</v>
      </c>
      <c r="C240" s="14" t="s">
        <v>1676</v>
      </c>
      <c r="D240" s="246"/>
      <c r="E240" s="14" t="s">
        <v>1677</v>
      </c>
      <c r="F240" s="246" t="str">
        <f>IF(wskakunin_dairi3_SIKAKU__label="","",wskakunin_dairi3_SIKAKU__label)</f>
        <v/>
      </c>
      <c r="H240" s="17"/>
    </row>
    <row r="241" spans="1:8" ht="15" customHeight="1">
      <c r="A241" s="113"/>
      <c r="B241" s="77" t="s">
        <v>623</v>
      </c>
      <c r="C241" s="14" t="s">
        <v>1678</v>
      </c>
      <c r="D241" s="246"/>
      <c r="E241" s="14" t="s">
        <v>1679</v>
      </c>
      <c r="F241" s="246" t="str">
        <f>IF(wskakunin_dairi3_TOUROKU_KIKAN__label="","",wskakunin_dairi3_TOUROKU_KIKAN__label)</f>
        <v/>
      </c>
      <c r="H241" s="17"/>
    </row>
    <row r="242" spans="1:8" ht="15" customHeight="1">
      <c r="A242" s="113"/>
      <c r="B242" s="77" t="s">
        <v>624</v>
      </c>
      <c r="C242" s="14" t="s">
        <v>1680</v>
      </c>
      <c r="D242" s="248"/>
      <c r="E242" s="14" t="s">
        <v>1681</v>
      </c>
      <c r="F242" s="246" t="str">
        <f>IF(wskakunin_dairi3_KENTIKUSI_NO="","",wskakunin_dairi3_KENTIKUSI_NO)</f>
        <v/>
      </c>
      <c r="H242" s="17"/>
    </row>
    <row r="243" spans="1:8" ht="15" customHeight="1">
      <c r="A243" s="61"/>
      <c r="B243" s="77" t="s">
        <v>11</v>
      </c>
      <c r="C243" s="14" t="s">
        <v>1682</v>
      </c>
      <c r="D243" s="246"/>
      <c r="E243" s="14" t="s">
        <v>1683</v>
      </c>
      <c r="F243" s="246" t="str">
        <f>IF(wskakunin_dairi3_NAME="", "", wskakunin_dairi3_NAME)</f>
        <v/>
      </c>
      <c r="H243" s="17"/>
    </row>
    <row r="244" spans="1:8" ht="15" customHeight="1">
      <c r="A244" s="61"/>
      <c r="B244" s="77" t="s">
        <v>124</v>
      </c>
      <c r="C244" s="14" t="s">
        <v>1684</v>
      </c>
      <c r="D244" s="246"/>
      <c r="E244" s="14" t="s">
        <v>1685</v>
      </c>
      <c r="F244" s="246" t="str">
        <f>IF(wskakunin_dairi3_NAME_KANA="", "", wskakunin_dairi3_NAME_KANA)</f>
        <v/>
      </c>
      <c r="H244" s="17"/>
    </row>
    <row r="245" spans="1:8" ht="15" customHeight="1">
      <c r="A245" s="61"/>
      <c r="B245" s="77" t="s">
        <v>629</v>
      </c>
      <c r="C245" s="14" t="s">
        <v>1686</v>
      </c>
      <c r="D245" s="246"/>
      <c r="E245" s="14" t="s">
        <v>1687</v>
      </c>
      <c r="F245" s="246" t="str">
        <f>IF(wskakunin_dairi3_JIMU__sikaku="", "", wskakunin_dairi3_JIMU__sikaku)</f>
        <v/>
      </c>
      <c r="H245" s="17"/>
    </row>
    <row r="246" spans="1:8" ht="15" customHeight="1">
      <c r="A246" s="61"/>
      <c r="B246" s="77" t="s">
        <v>121</v>
      </c>
      <c r="C246" s="14" t="s">
        <v>1688</v>
      </c>
      <c r="D246" s="246"/>
      <c r="E246" s="14" t="s">
        <v>1689</v>
      </c>
      <c r="F246" s="246" t="str">
        <f>IF(wskakunin_dairi3_JIMU_SIKAKU__label="","",wskakunin_dairi3_JIMU_SIKAKU__label)</f>
        <v/>
      </c>
      <c r="H246" s="17"/>
    </row>
    <row r="247" spans="1:8" ht="15" customHeight="1">
      <c r="A247" s="61"/>
      <c r="B247" s="77" t="s">
        <v>630</v>
      </c>
      <c r="C247" s="14" t="s">
        <v>1690</v>
      </c>
      <c r="D247" s="246"/>
      <c r="E247" s="14" t="s">
        <v>1691</v>
      </c>
      <c r="F247" s="246" t="str">
        <f>IF(wskakunin_dairi3_JIMU_TOUROKU_KIKAN__label="","",wskakunin_dairi3_JIMU_TOUROKU_KIKAN__label)</f>
        <v/>
      </c>
      <c r="H247" s="17"/>
    </row>
    <row r="248" spans="1:8" ht="15" customHeight="1">
      <c r="A248" s="61"/>
      <c r="B248" s="77" t="s">
        <v>631</v>
      </c>
      <c r="C248" s="14" t="s">
        <v>1692</v>
      </c>
      <c r="D248" s="248"/>
      <c r="E248" s="14" t="s">
        <v>1693</v>
      </c>
      <c r="F248" s="246" t="str">
        <f>IF(wskakunin_dairi3_JIMU_NO="","",wskakunin_dairi3_JIMU_NO)</f>
        <v/>
      </c>
      <c r="H248" s="17"/>
    </row>
    <row r="249" spans="1:8" ht="15" customHeight="1">
      <c r="A249" s="61"/>
      <c r="B249" s="77" t="s">
        <v>122</v>
      </c>
      <c r="C249" s="14" t="s">
        <v>1694</v>
      </c>
      <c r="D249" s="246"/>
      <c r="E249" s="14" t="s">
        <v>1695</v>
      </c>
      <c r="F249" s="246" t="str">
        <f>IF(wskakunin_dairi3_JIMU_NAME="", "",wskakunin_dairi3_JIMU_NAME)</f>
        <v/>
      </c>
      <c r="H249" s="17"/>
    </row>
    <row r="250" spans="1:8" ht="15" customHeight="1">
      <c r="A250" s="61"/>
      <c r="B250" s="77" t="s">
        <v>12</v>
      </c>
      <c r="C250" s="14" t="s">
        <v>1696</v>
      </c>
      <c r="D250" s="248"/>
      <c r="E250" s="14" t="s">
        <v>1697</v>
      </c>
      <c r="F250" s="246" t="str">
        <f>IF(wskakunin_dairi3_ZIP="", "", wskakunin_dairi3_ZIP)</f>
        <v/>
      </c>
      <c r="H250" s="17"/>
    </row>
    <row r="251" spans="1:8" ht="15" customHeight="1">
      <c r="A251" s="61"/>
      <c r="B251" s="77" t="s">
        <v>17</v>
      </c>
      <c r="C251" s="14" t="s">
        <v>1698</v>
      </c>
      <c r="D251" s="246"/>
      <c r="E251" s="14" t="s">
        <v>1699</v>
      </c>
      <c r="F251" s="246" t="str">
        <f>IF(wskakunin_dairi3__address="", "", wskakunin_dairi3__address)</f>
        <v/>
      </c>
      <c r="H251" s="17"/>
    </row>
    <row r="252" spans="1:8" ht="15" customHeight="1">
      <c r="A252" s="61"/>
      <c r="B252" s="77" t="s">
        <v>14</v>
      </c>
      <c r="C252" s="14" t="s">
        <v>1700</v>
      </c>
      <c r="D252" s="248"/>
      <c r="E252" s="14" t="s">
        <v>1701</v>
      </c>
      <c r="F252" s="246" t="str">
        <f>IF(wskakunin_dairi3_TEL="", "", wskakunin_dairi3_TEL)</f>
        <v/>
      </c>
      <c r="H252" s="17"/>
    </row>
    <row r="253" spans="1:8" ht="15" customHeight="1">
      <c r="A253" s="61"/>
      <c r="B253" s="77" t="s">
        <v>699</v>
      </c>
      <c r="C253" s="14" t="s">
        <v>1702</v>
      </c>
      <c r="D253" s="248"/>
      <c r="E253" s="14" t="s">
        <v>1703</v>
      </c>
      <c r="F253" s="246" t="str">
        <f>IF(wskakunin_dairi3_FAX="", "", wskakunin_dairi3_FAX)</f>
        <v/>
      </c>
      <c r="H253" s="17"/>
    </row>
    <row r="254" spans="1:8" ht="15" customHeight="1">
      <c r="A254" s="61"/>
      <c r="B254" s="114" t="s">
        <v>181</v>
      </c>
      <c r="D254" s="17"/>
      <c r="E254" s="14" t="s">
        <v>1704</v>
      </c>
      <c r="F254" s="246" t="str">
        <f>IF(wskakunin_dairi3_NAME&amp;wskakunin_dairi3_JIMU_NAME="","",IF(wskakunin_dairi3_JIMU_NAME="",wskakunin_dairi3_NAME,wskakunin_dairi3_JIMU_NAME&amp;"　"&amp;wskakunin_dairi3_NAME))</f>
        <v/>
      </c>
      <c r="H254" s="17"/>
    </row>
    <row r="255" spans="1:8" ht="15" customHeight="1">
      <c r="A255" s="62"/>
      <c r="B255" s="115"/>
      <c r="D255" s="34"/>
      <c r="F255" s="17"/>
      <c r="H255" s="17"/>
    </row>
    <row r="256" spans="1:8" ht="15" customHeight="1">
      <c r="A256" s="52" t="s">
        <v>1641</v>
      </c>
      <c r="B256" s="112"/>
      <c r="H256" s="17"/>
    </row>
    <row r="257" spans="1:8" ht="15" customHeight="1">
      <c r="A257" s="113"/>
      <c r="B257" s="77" t="s">
        <v>627</v>
      </c>
      <c r="C257" s="14" t="s">
        <v>1705</v>
      </c>
      <c r="D257" s="246"/>
      <c r="E257" s="14" t="s">
        <v>1706</v>
      </c>
      <c r="F257" s="246" t="str">
        <f>IF(wskakunin_dairi4__sikaku="", "", wskakunin_dairi4__sikaku)</f>
        <v/>
      </c>
      <c r="H257" s="17"/>
    </row>
    <row r="258" spans="1:8" ht="15" customHeight="1">
      <c r="A258" s="113"/>
      <c r="B258" s="77" t="s">
        <v>628</v>
      </c>
      <c r="C258" s="14" t="s">
        <v>1707</v>
      </c>
      <c r="D258" s="246"/>
      <c r="E258" s="14" t="s">
        <v>1708</v>
      </c>
      <c r="F258" s="246" t="str">
        <f>IF(wskakunin_dairi4_SIKAKU__label="","",wskakunin_dairi4_SIKAKU__label)</f>
        <v/>
      </c>
      <c r="H258" s="17"/>
    </row>
    <row r="259" spans="1:8" ht="15" customHeight="1">
      <c r="A259" s="113"/>
      <c r="B259" s="77" t="s">
        <v>623</v>
      </c>
      <c r="C259" s="14" t="s">
        <v>1709</v>
      </c>
      <c r="D259" s="246"/>
      <c r="E259" s="14" t="s">
        <v>1710</v>
      </c>
      <c r="F259" s="246" t="str">
        <f>IF(wskakunin_dairi4_TOUROKU_KIKAN__label="","",wskakunin_dairi4_TOUROKU_KIKAN__label)</f>
        <v/>
      </c>
      <c r="H259" s="17"/>
    </row>
    <row r="260" spans="1:8" ht="15" customHeight="1">
      <c r="A260" s="113"/>
      <c r="B260" s="77" t="s">
        <v>624</v>
      </c>
      <c r="C260" s="14" t="s">
        <v>1711</v>
      </c>
      <c r="D260" s="248"/>
      <c r="E260" s="14" t="s">
        <v>1712</v>
      </c>
      <c r="F260" s="246" t="str">
        <f>IF(wskakunin_dairi4_KENTIKUSI_NO="","",wskakunin_dairi4_KENTIKUSI_NO)</f>
        <v/>
      </c>
      <c r="H260" s="17"/>
    </row>
    <row r="261" spans="1:8" ht="15" customHeight="1">
      <c r="A261" s="61"/>
      <c r="B261" s="77" t="s">
        <v>11</v>
      </c>
      <c r="C261" s="14" t="s">
        <v>1713</v>
      </c>
      <c r="D261" s="246"/>
      <c r="E261" s="14" t="s">
        <v>1714</v>
      </c>
      <c r="F261" s="246" t="str">
        <f>IF(wskakunin_dairi4_NAME="", "", wskakunin_dairi4_NAME)</f>
        <v/>
      </c>
      <c r="H261" s="17"/>
    </row>
    <row r="262" spans="1:8" ht="15" customHeight="1">
      <c r="A262" s="61"/>
      <c r="B262" s="77" t="s">
        <v>124</v>
      </c>
      <c r="C262" s="14" t="s">
        <v>1715</v>
      </c>
      <c r="D262" s="246"/>
      <c r="E262" s="14" t="s">
        <v>1716</v>
      </c>
      <c r="F262" s="246" t="str">
        <f>IF(wskakunin_dairi4_NAME_KANA="", "", wskakunin_dairi4_NAME_KANA)</f>
        <v/>
      </c>
      <c r="H262" s="17"/>
    </row>
    <row r="263" spans="1:8" ht="15" customHeight="1">
      <c r="A263" s="61"/>
      <c r="B263" s="77" t="s">
        <v>629</v>
      </c>
      <c r="C263" s="14" t="s">
        <v>1717</v>
      </c>
      <c r="D263" s="246"/>
      <c r="E263" s="14" t="s">
        <v>1718</v>
      </c>
      <c r="F263" s="246" t="str">
        <f>IF(wskakunin_dairi4_JIMU__sikaku="", "", wskakunin_dairi4_JIMU__sikaku)</f>
        <v/>
      </c>
      <c r="H263" s="17"/>
    </row>
    <row r="264" spans="1:8" ht="15" customHeight="1">
      <c r="A264" s="61"/>
      <c r="B264" s="77" t="s">
        <v>121</v>
      </c>
      <c r="C264" s="14" t="s">
        <v>1719</v>
      </c>
      <c r="D264" s="246"/>
      <c r="E264" s="14" t="s">
        <v>1720</v>
      </c>
      <c r="F264" s="246" t="str">
        <f>IF(wskakunin_dairi4_JIMU_SIKAKU__label="","",wskakunin_dairi4_JIMU_SIKAKU__label)</f>
        <v/>
      </c>
      <c r="H264" s="17"/>
    </row>
    <row r="265" spans="1:8" ht="15" customHeight="1">
      <c r="A265" s="61"/>
      <c r="B265" s="77" t="s">
        <v>630</v>
      </c>
      <c r="C265" s="14" t="s">
        <v>1721</v>
      </c>
      <c r="D265" s="246"/>
      <c r="E265" s="14" t="s">
        <v>1722</v>
      </c>
      <c r="F265" s="246" t="str">
        <f>IF(wskakunin_dairi4_JIMU_TOUROKU_KIKAN__label="","",wskakunin_dairi4_JIMU_TOUROKU_KIKAN__label)</f>
        <v/>
      </c>
      <c r="H265" s="17"/>
    </row>
    <row r="266" spans="1:8" ht="15" customHeight="1">
      <c r="A266" s="61"/>
      <c r="B266" s="77" t="s">
        <v>631</v>
      </c>
      <c r="C266" s="14" t="s">
        <v>1723</v>
      </c>
      <c r="D266" s="248"/>
      <c r="E266" s="14" t="s">
        <v>1724</v>
      </c>
      <c r="F266" s="246" t="str">
        <f>IF(wskakunin_dairi4_JIMU_NO="","",wskakunin_dairi4_JIMU_NO)</f>
        <v/>
      </c>
      <c r="H266" s="17"/>
    </row>
    <row r="267" spans="1:8" ht="15" customHeight="1">
      <c r="A267" s="61"/>
      <c r="B267" s="77" t="s">
        <v>122</v>
      </c>
      <c r="C267" s="14" t="s">
        <v>1725</v>
      </c>
      <c r="D267" s="246"/>
      <c r="E267" s="14" t="s">
        <v>1726</v>
      </c>
      <c r="F267" s="246" t="str">
        <f>IF(wskakunin_dairi4_JIMU_NAME="", "",wskakunin_dairi4_JIMU_NAME)</f>
        <v/>
      </c>
      <c r="H267" s="17"/>
    </row>
    <row r="268" spans="1:8" ht="15" customHeight="1">
      <c r="A268" s="61"/>
      <c r="B268" s="77" t="s">
        <v>12</v>
      </c>
      <c r="C268" s="14" t="s">
        <v>1727</v>
      </c>
      <c r="D268" s="248"/>
      <c r="E268" s="14" t="s">
        <v>1728</v>
      </c>
      <c r="F268" s="246" t="str">
        <f>IF(wskakunin_dairi4_ZIP="", "", wskakunin_dairi4_ZIP)</f>
        <v/>
      </c>
      <c r="H268" s="17"/>
    </row>
    <row r="269" spans="1:8" ht="15" customHeight="1">
      <c r="A269" s="61"/>
      <c r="B269" s="77" t="s">
        <v>17</v>
      </c>
      <c r="C269" s="14" t="s">
        <v>1729</v>
      </c>
      <c r="D269" s="246"/>
      <c r="E269" s="14" t="s">
        <v>1730</v>
      </c>
      <c r="F269" s="246" t="str">
        <f>IF(wskakunin_dairi4__address="", "", wskakunin_dairi4__address)</f>
        <v/>
      </c>
      <c r="H269" s="17"/>
    </row>
    <row r="270" spans="1:8" ht="15" customHeight="1">
      <c r="A270" s="61"/>
      <c r="B270" s="77" t="s">
        <v>14</v>
      </c>
      <c r="C270" s="14" t="s">
        <v>1731</v>
      </c>
      <c r="D270" s="248"/>
      <c r="E270" s="14" t="s">
        <v>1732</v>
      </c>
      <c r="F270" s="246" t="str">
        <f>IF(wskakunin_dairi4_TEL="", "", wskakunin_dairi4_TEL)</f>
        <v/>
      </c>
      <c r="H270" s="17"/>
    </row>
    <row r="271" spans="1:8" ht="15" customHeight="1">
      <c r="A271" s="61"/>
      <c r="B271" s="77" t="s">
        <v>699</v>
      </c>
      <c r="C271" s="14" t="s">
        <v>1733</v>
      </c>
      <c r="D271" s="248"/>
      <c r="E271" s="14" t="s">
        <v>1734</v>
      </c>
      <c r="F271" s="246" t="str">
        <f>IF(wskakunin_dairi4_FAX="", "", wskakunin_dairi4_FAX)</f>
        <v/>
      </c>
      <c r="H271" s="17"/>
    </row>
    <row r="272" spans="1:8" ht="15" customHeight="1">
      <c r="A272" s="61"/>
      <c r="B272" s="114" t="s">
        <v>181</v>
      </c>
      <c r="D272" s="17"/>
      <c r="E272" s="14" t="s">
        <v>1735</v>
      </c>
      <c r="F272" s="246" t="str">
        <f>IF(wskakunin_dairi4_NAME&amp;wskakunin_dairi4_JIMU_NAME="","",IF(wskakunin_dairi4_JIMU_NAME="",wskakunin_dairi4_NAME,wskakunin_dairi4_JIMU_NAME&amp;"　"&amp;wskakunin_dairi4_NAME))</f>
        <v/>
      </c>
      <c r="H272" s="17"/>
    </row>
    <row r="273" spans="1:8" ht="15" customHeight="1">
      <c r="A273" s="62"/>
      <c r="B273" s="115"/>
      <c r="D273" s="34"/>
      <c r="F273" s="17"/>
      <c r="H273" s="17"/>
    </row>
    <row r="274" spans="1:8" ht="15" customHeight="1">
      <c r="A274" s="52" t="s">
        <v>1642</v>
      </c>
      <c r="B274" s="112"/>
      <c r="H274" s="17"/>
    </row>
    <row r="275" spans="1:8" ht="15" customHeight="1">
      <c r="A275" s="113"/>
      <c r="B275" s="77" t="s">
        <v>627</v>
      </c>
      <c r="C275" s="14" t="s">
        <v>1736</v>
      </c>
      <c r="D275" s="246"/>
      <c r="E275" s="14" t="s">
        <v>1737</v>
      </c>
      <c r="F275" s="246" t="str">
        <f>IF(wskakunin_dairi5__sikaku="", "", wskakunin_dairi5__sikaku)</f>
        <v/>
      </c>
      <c r="H275" s="17"/>
    </row>
    <row r="276" spans="1:8" ht="15" customHeight="1">
      <c r="A276" s="113"/>
      <c r="B276" s="77" t="s">
        <v>628</v>
      </c>
      <c r="C276" s="14" t="s">
        <v>1738</v>
      </c>
      <c r="D276" s="246"/>
      <c r="E276" s="14" t="s">
        <v>1739</v>
      </c>
      <c r="F276" s="246" t="str">
        <f>IF(wskakunin_dairi5_SIKAKU__label="","",wskakunin_dairi5_SIKAKU__label)</f>
        <v/>
      </c>
      <c r="H276" s="17"/>
    </row>
    <row r="277" spans="1:8" ht="15" customHeight="1">
      <c r="A277" s="113"/>
      <c r="B277" s="77" t="s">
        <v>623</v>
      </c>
      <c r="C277" s="14" t="s">
        <v>1740</v>
      </c>
      <c r="D277" s="246"/>
      <c r="E277" s="14" t="s">
        <v>1741</v>
      </c>
      <c r="F277" s="246" t="str">
        <f>IF(wskakunin_dairi5_TOUROKU_KIKAN__label="","",wskakunin_dairi5_TOUROKU_KIKAN__label)</f>
        <v/>
      </c>
      <c r="H277" s="17"/>
    </row>
    <row r="278" spans="1:8" ht="15" customHeight="1">
      <c r="A278" s="113"/>
      <c r="B278" s="77" t="s">
        <v>624</v>
      </c>
      <c r="C278" s="14" t="s">
        <v>1742</v>
      </c>
      <c r="D278" s="248"/>
      <c r="E278" s="14" t="s">
        <v>1743</v>
      </c>
      <c r="F278" s="246" t="str">
        <f>IF(wskakunin_dairi5_KENTIKUSI_NO="","",wskakunin_dairi5_KENTIKUSI_NO)</f>
        <v/>
      </c>
      <c r="H278" s="17"/>
    </row>
    <row r="279" spans="1:8" ht="15" customHeight="1">
      <c r="A279" s="61"/>
      <c r="B279" s="77" t="s">
        <v>11</v>
      </c>
      <c r="C279" s="14" t="s">
        <v>1744</v>
      </c>
      <c r="D279" s="246"/>
      <c r="E279" s="14" t="s">
        <v>1745</v>
      </c>
      <c r="F279" s="246" t="str">
        <f>IF(wskakunin_dairi5_NAME="", "", wskakunin_dairi5_NAME)</f>
        <v/>
      </c>
      <c r="H279" s="17"/>
    </row>
    <row r="280" spans="1:8" ht="15" customHeight="1">
      <c r="A280" s="61"/>
      <c r="B280" s="77" t="s">
        <v>124</v>
      </c>
      <c r="C280" s="14" t="s">
        <v>1746</v>
      </c>
      <c r="D280" s="246"/>
      <c r="E280" s="14" t="s">
        <v>1747</v>
      </c>
      <c r="F280" s="246" t="str">
        <f>IF(wskakunin_dairi5_NAME_KANA="", "", wskakunin_dairi5_NAME_KANA)</f>
        <v/>
      </c>
      <c r="H280" s="17"/>
    </row>
    <row r="281" spans="1:8" ht="15" customHeight="1">
      <c r="A281" s="61"/>
      <c r="B281" s="77" t="s">
        <v>629</v>
      </c>
      <c r="C281" s="14" t="s">
        <v>1748</v>
      </c>
      <c r="D281" s="246"/>
      <c r="E281" s="14" t="s">
        <v>1749</v>
      </c>
      <c r="F281" s="246" t="str">
        <f>IF(wskakunin_dairi5_JIMU__sikaku="", "", wskakunin_dairi5_JIMU__sikaku)</f>
        <v/>
      </c>
      <c r="H281" s="17"/>
    </row>
    <row r="282" spans="1:8" ht="15" customHeight="1">
      <c r="A282" s="61"/>
      <c r="B282" s="77" t="s">
        <v>121</v>
      </c>
      <c r="C282" s="14" t="s">
        <v>1750</v>
      </c>
      <c r="D282" s="246"/>
      <c r="E282" s="14" t="s">
        <v>1751</v>
      </c>
      <c r="F282" s="246" t="str">
        <f>IF(wskakunin_dairi5_JIMU_SIKAKU__label="","",wskakunin_dairi5_JIMU_SIKAKU__label)</f>
        <v/>
      </c>
      <c r="H282" s="17"/>
    </row>
    <row r="283" spans="1:8" ht="15" customHeight="1">
      <c r="A283" s="61"/>
      <c r="B283" s="77" t="s">
        <v>630</v>
      </c>
      <c r="C283" s="14" t="s">
        <v>1752</v>
      </c>
      <c r="D283" s="246"/>
      <c r="E283" s="14" t="s">
        <v>1753</v>
      </c>
      <c r="F283" s="246" t="str">
        <f>IF(wskakunin_dairi5_JIMU_TOUROKU_KIKAN__label="","",wskakunin_dairi5_JIMU_TOUROKU_KIKAN__label)</f>
        <v/>
      </c>
      <c r="H283" s="17"/>
    </row>
    <row r="284" spans="1:8" ht="15" customHeight="1">
      <c r="A284" s="61"/>
      <c r="B284" s="77" t="s">
        <v>631</v>
      </c>
      <c r="C284" s="14" t="s">
        <v>1754</v>
      </c>
      <c r="D284" s="248"/>
      <c r="E284" s="14" t="s">
        <v>1755</v>
      </c>
      <c r="F284" s="246" t="str">
        <f>IF(wskakunin_dairi5_JIMU_NO="","",wskakunin_dairi5_JIMU_NO)</f>
        <v/>
      </c>
      <c r="H284" s="17"/>
    </row>
    <row r="285" spans="1:8" ht="15" customHeight="1">
      <c r="A285" s="61"/>
      <c r="B285" s="77" t="s">
        <v>122</v>
      </c>
      <c r="C285" s="14" t="s">
        <v>1756</v>
      </c>
      <c r="D285" s="246"/>
      <c r="E285" s="14" t="s">
        <v>1757</v>
      </c>
      <c r="F285" s="246" t="str">
        <f>IF(wskakunin_dairi5_JIMU_NAME="", "",wskakunin_dairi5_JIMU_NAME)</f>
        <v/>
      </c>
      <c r="H285" s="17"/>
    </row>
    <row r="286" spans="1:8" ht="15" customHeight="1">
      <c r="A286" s="61"/>
      <c r="B286" s="77" t="s">
        <v>12</v>
      </c>
      <c r="C286" s="14" t="s">
        <v>1758</v>
      </c>
      <c r="D286" s="248"/>
      <c r="E286" s="14" t="s">
        <v>1759</v>
      </c>
      <c r="F286" s="246" t="str">
        <f>IF(wskakunin_dairi5_ZIP="", "", wskakunin_dairi5_ZIP)</f>
        <v/>
      </c>
      <c r="H286" s="17"/>
    </row>
    <row r="287" spans="1:8" ht="15" customHeight="1">
      <c r="A287" s="61"/>
      <c r="B287" s="77" t="s">
        <v>17</v>
      </c>
      <c r="C287" s="14" t="s">
        <v>1760</v>
      </c>
      <c r="D287" s="246"/>
      <c r="E287" s="14" t="s">
        <v>1761</v>
      </c>
      <c r="F287" s="246" t="str">
        <f>IF(wskakunin_dairi5__address="", "", wskakunin_dairi5__address)</f>
        <v/>
      </c>
      <c r="H287" s="17"/>
    </row>
    <row r="288" spans="1:8" ht="15" customHeight="1">
      <c r="A288" s="61"/>
      <c r="B288" s="77" t="s">
        <v>14</v>
      </c>
      <c r="C288" s="14" t="s">
        <v>1762</v>
      </c>
      <c r="D288" s="248"/>
      <c r="E288" s="14" t="s">
        <v>1763</v>
      </c>
      <c r="F288" s="246" t="str">
        <f>IF(wskakunin_dairi5_TEL="", "", wskakunin_dairi5_TEL)</f>
        <v/>
      </c>
      <c r="H288" s="17"/>
    </row>
    <row r="289" spans="1:8" ht="15" customHeight="1">
      <c r="A289" s="61"/>
      <c r="B289" s="77" t="s">
        <v>699</v>
      </c>
      <c r="C289" s="14" t="s">
        <v>1764</v>
      </c>
      <c r="D289" s="248"/>
      <c r="E289" s="14" t="s">
        <v>1765</v>
      </c>
      <c r="F289" s="246" t="str">
        <f>IF(wskakunin_dairi5_FAX="", "", wskakunin_dairi5_FAX)</f>
        <v/>
      </c>
      <c r="H289" s="17"/>
    </row>
    <row r="290" spans="1:8" ht="15" customHeight="1">
      <c r="A290" s="61"/>
      <c r="B290" s="114" t="s">
        <v>181</v>
      </c>
      <c r="C290" s="17"/>
      <c r="D290" s="17"/>
      <c r="E290" s="14" t="s">
        <v>1766</v>
      </c>
      <c r="F290" s="246" t="str">
        <f>IF(wskakunin_dairi5_NAME&amp;wskakunin_dairi5_JIMU_NAME="","",IF(wskakunin_dairi5_JIMU_NAME="",wskakunin_dairi5_NAME,wskakunin_dairi5_JIMU_NAME&amp;"　"&amp;wskakunin_dairi5_NAME))</f>
        <v/>
      </c>
      <c r="H290" s="17"/>
    </row>
    <row r="291" spans="1:8" ht="15" customHeight="1">
      <c r="A291" s="62"/>
      <c r="B291" s="115"/>
      <c r="D291" s="34"/>
      <c r="F291" s="17"/>
      <c r="G291" s="17"/>
      <c r="H291" s="17"/>
    </row>
    <row r="292" spans="1:8" ht="15" customHeight="1">
      <c r="A292" s="1" t="s">
        <v>667</v>
      </c>
      <c r="B292" s="49"/>
      <c r="G292" s="17"/>
      <c r="H292" s="17"/>
    </row>
    <row r="293" spans="1:8" ht="15" customHeight="1">
      <c r="A293" s="27"/>
      <c r="B293" s="78" t="s">
        <v>627</v>
      </c>
      <c r="C293" s="14" t="s">
        <v>161</v>
      </c>
      <c r="D293" s="154" t="s">
        <v>3269</v>
      </c>
      <c r="E293" s="14" t="s">
        <v>661</v>
      </c>
      <c r="F293" s="154" t="str">
        <f>IF(wskakunin_sekkei1__sikaku="", "", wskakunin_sekkei1__sikaku)</f>
        <v>一級建築士大臣登録第291061号</v>
      </c>
      <c r="G293" s="17"/>
      <c r="H293" s="17"/>
    </row>
    <row r="294" spans="1:8" ht="15" customHeight="1">
      <c r="A294" s="32"/>
      <c r="B294" s="78" t="s">
        <v>628</v>
      </c>
      <c r="C294" s="14" t="s">
        <v>659</v>
      </c>
      <c r="D294" s="154" t="s">
        <v>203</v>
      </c>
      <c r="E294" s="14" t="s">
        <v>662</v>
      </c>
      <c r="F294" s="154" t="str">
        <f>IF(wskakunin_sekkei1_SIKAKU__label="","",wskakunin_sekkei1_SIKAKU__label)</f>
        <v>一級</v>
      </c>
      <c r="G294" s="17"/>
      <c r="H294" s="17"/>
    </row>
    <row r="295" spans="1:8" ht="15" customHeight="1">
      <c r="A295" s="32"/>
      <c r="B295" s="78" t="s">
        <v>623</v>
      </c>
      <c r="C295" s="14" t="s">
        <v>1396</v>
      </c>
      <c r="D295" s="154" t="s">
        <v>228</v>
      </c>
      <c r="E295" s="14" t="s">
        <v>663</v>
      </c>
      <c r="F295" s="154" t="str">
        <f>IF(wskakunin_sekkei1_TOUROKU_KIKAN__label="","",wskakunin_sekkei1_TOUROKU_KIKAN__label)</f>
        <v>大臣</v>
      </c>
      <c r="G295" s="17"/>
      <c r="H295" s="17"/>
    </row>
    <row r="296" spans="1:8" ht="15" customHeight="1">
      <c r="A296" s="32"/>
      <c r="B296" s="78" t="s">
        <v>624</v>
      </c>
      <c r="C296" s="14" t="s">
        <v>660</v>
      </c>
      <c r="D296" s="240" t="s">
        <v>3273</v>
      </c>
      <c r="E296" s="14" t="s">
        <v>664</v>
      </c>
      <c r="F296" s="154" t="str">
        <f>IF(wskakunin_sekkei1_KENTIKUSI_NO="","",wskakunin_sekkei1_KENTIKUSI_NO)</f>
        <v>291061</v>
      </c>
      <c r="G296" s="17"/>
      <c r="H296" s="17"/>
    </row>
    <row r="297" spans="1:8" ht="15" customHeight="1">
      <c r="A297" s="44"/>
      <c r="B297" s="78" t="s">
        <v>11</v>
      </c>
      <c r="C297" s="14" t="s">
        <v>162</v>
      </c>
      <c r="D297" s="154" t="s">
        <v>3274</v>
      </c>
      <c r="E297" s="14" t="s">
        <v>190</v>
      </c>
      <c r="F297" s="154" t="str">
        <f>IF(wskakunin_sekkei1_NAME="", "", wskakunin_sekkei1_NAME)</f>
        <v>木村　賢</v>
      </c>
      <c r="G297" s="17"/>
      <c r="H297" s="17"/>
    </row>
    <row r="298" spans="1:8" ht="15" customHeight="1">
      <c r="A298" s="44"/>
      <c r="B298" s="78" t="s">
        <v>629</v>
      </c>
      <c r="C298" s="14" t="s">
        <v>654</v>
      </c>
      <c r="D298" s="154" t="s">
        <v>3270</v>
      </c>
      <c r="E298" s="14" t="s">
        <v>191</v>
      </c>
      <c r="F298" s="154" t="str">
        <f>IF(wskakunin_sekkei1_JIMU__sikaku="", "", wskakunin_sekkei1_JIMU__sikaku)</f>
        <v>一級建築士事務所静岡県知事登録第(6)4774号</v>
      </c>
      <c r="G298" s="17"/>
      <c r="H298" s="17"/>
    </row>
    <row r="299" spans="1:8" ht="15" customHeight="1">
      <c r="A299" s="44"/>
      <c r="B299" s="78" t="s">
        <v>121</v>
      </c>
      <c r="C299" s="14" t="s">
        <v>655</v>
      </c>
      <c r="D299" s="154" t="s">
        <v>203</v>
      </c>
      <c r="E299" s="14" t="s">
        <v>1484</v>
      </c>
      <c r="F299" s="154" t="str">
        <f>IF(wskakunin_sekkei1_JIMU_SIKAKU__label="","",wskakunin_sekkei1_JIMU_SIKAKU__label)</f>
        <v>一級</v>
      </c>
      <c r="G299" s="17"/>
      <c r="H299" s="17"/>
    </row>
    <row r="300" spans="1:8" ht="15" customHeight="1">
      <c r="A300" s="44"/>
      <c r="B300" s="78" t="s">
        <v>630</v>
      </c>
      <c r="C300" s="14" t="s">
        <v>1397</v>
      </c>
      <c r="D300" s="154" t="s">
        <v>3265</v>
      </c>
      <c r="E300" s="14" t="s">
        <v>657</v>
      </c>
      <c r="F300" s="154" t="str">
        <f>IF(wskakunin_sekkei1_JIMU_TOUROKU_KIKAN__label="","",wskakunin_sekkei1_JIMU_TOUROKU_KIKAN__label)</f>
        <v>静岡県</v>
      </c>
      <c r="G300" s="17"/>
      <c r="H300" s="17"/>
    </row>
    <row r="301" spans="1:8" ht="15" customHeight="1">
      <c r="A301" s="44"/>
      <c r="B301" s="78" t="s">
        <v>631</v>
      </c>
      <c r="C301" s="14" t="s">
        <v>656</v>
      </c>
      <c r="D301" s="240" t="s">
        <v>3272</v>
      </c>
      <c r="E301" s="14" t="s">
        <v>658</v>
      </c>
      <c r="F301" s="154" t="str">
        <f>IF(wskakunin_sekkei1_JIMU_NO="","",wskakunin_sekkei1_JIMU_NO)</f>
        <v>(6)4774</v>
      </c>
      <c r="G301" s="17"/>
      <c r="H301" s="17"/>
    </row>
    <row r="302" spans="1:8" ht="15" customHeight="1">
      <c r="A302" s="60"/>
      <c r="B302" s="78" t="s">
        <v>122</v>
      </c>
      <c r="C302" s="14" t="s">
        <v>163</v>
      </c>
      <c r="D302" s="154" t="s">
        <v>3271</v>
      </c>
      <c r="E302" s="14" t="s">
        <v>192</v>
      </c>
      <c r="F302" s="154" t="str">
        <f>IF(wskakunin_sekkei1_JIMU_NAME="", "", wskakunin_sekkei1_JIMU_NAME)</f>
        <v>株式会社山田工務店　一級建築士事務所</v>
      </c>
      <c r="G302" s="17"/>
      <c r="H302" s="17"/>
    </row>
    <row r="303" spans="1:8" ht="15" customHeight="1">
      <c r="A303" s="44"/>
      <c r="B303" s="78" t="s">
        <v>647</v>
      </c>
      <c r="D303" s="34"/>
      <c r="E303" s="14" t="s">
        <v>648</v>
      </c>
      <c r="F303" s="154" t="str">
        <f>wskakunin_sekkei1_JIMU_NAME&amp;" "&amp;wskakunin_sekkei1_NAME</f>
        <v>株式会社山田工務店　一級建築士事務所 木村　賢</v>
      </c>
      <c r="G303" s="17"/>
      <c r="H303" s="17"/>
    </row>
    <row r="304" spans="1:8" ht="15" customHeight="1">
      <c r="A304" s="60"/>
      <c r="B304" s="78" t="s">
        <v>12</v>
      </c>
      <c r="C304" s="14" t="s">
        <v>164</v>
      </c>
      <c r="D304" s="240" t="s">
        <v>3276</v>
      </c>
      <c r="E304" s="14" t="s">
        <v>193</v>
      </c>
      <c r="F304" s="154" t="str">
        <f>IF(wskakunin_sekkei1_ZIP="", "", wskakunin_sekkei1_ZIP)</f>
        <v>425-0074</v>
      </c>
      <c r="G304" s="17"/>
      <c r="H304" s="17" t="s">
        <v>665</v>
      </c>
    </row>
    <row r="305" spans="1:8" ht="15" customHeight="1">
      <c r="A305" s="60"/>
      <c r="B305" s="78" t="s">
        <v>17</v>
      </c>
      <c r="C305" s="14" t="s">
        <v>742</v>
      </c>
      <c r="D305" s="154" t="s">
        <v>3268</v>
      </c>
      <c r="E305" s="14" t="s">
        <v>743</v>
      </c>
      <c r="F305" s="154" t="str">
        <f>IF(wskakunin_sekkei1__address="", "", wskakunin_sekkei1__address)</f>
        <v>静岡県焼津市柳新屋648-2</v>
      </c>
      <c r="G305" s="17"/>
      <c r="H305" s="17"/>
    </row>
    <row r="306" spans="1:8" ht="15" customHeight="1">
      <c r="A306" s="60"/>
      <c r="B306" s="78" t="s">
        <v>14</v>
      </c>
      <c r="C306" s="14" t="s">
        <v>744</v>
      </c>
      <c r="D306" s="240" t="s">
        <v>3275</v>
      </c>
      <c r="E306" s="14" t="s">
        <v>745</v>
      </c>
      <c r="F306" s="154" t="str">
        <f>IF(wskakunin_sekkei1_TEL="", "", wskakunin_sekkei1_TEL)</f>
        <v>054-621-5656</v>
      </c>
      <c r="G306" s="17"/>
      <c r="H306" s="17"/>
    </row>
    <row r="307" spans="1:8" ht="15" customHeight="1">
      <c r="A307" s="60"/>
      <c r="B307" s="78" t="s">
        <v>666</v>
      </c>
      <c r="C307" s="14" t="s">
        <v>746</v>
      </c>
      <c r="D307" s="240" t="s">
        <v>570</v>
      </c>
      <c r="E307" s="14" t="s">
        <v>747</v>
      </c>
      <c r="F307" s="154" t="str">
        <f>IF(wskakunin_sekkei1_DOC="","",wskakunin_sekkei1_DOC)</f>
        <v>設計図書一式</v>
      </c>
      <c r="G307" s="17"/>
      <c r="H307" s="17"/>
    </row>
    <row r="308" spans="1:8" ht="15" customHeight="1">
      <c r="A308" s="60"/>
      <c r="B308" s="86"/>
      <c r="G308" s="17"/>
      <c r="H308" s="17"/>
    </row>
    <row r="309" spans="1:8" ht="15" customHeight="1">
      <c r="A309" s="1" t="s">
        <v>668</v>
      </c>
      <c r="B309" s="49"/>
      <c r="G309" s="17"/>
      <c r="H309" s="17"/>
    </row>
    <row r="310" spans="1:8" ht="15" customHeight="1">
      <c r="A310" s="27"/>
      <c r="B310" s="78" t="s">
        <v>627</v>
      </c>
      <c r="C310" s="14" t="s">
        <v>748</v>
      </c>
      <c r="D310" s="154"/>
      <c r="E310" s="14" t="s">
        <v>749</v>
      </c>
      <c r="F310" s="154" t="str">
        <f>IF(wskakunin_sekkei2__sikaku="", "", wskakunin_sekkei2__sikaku)</f>
        <v/>
      </c>
      <c r="G310" s="17"/>
      <c r="H310" s="17"/>
    </row>
    <row r="311" spans="1:8" ht="15" customHeight="1">
      <c r="A311" s="32"/>
      <c r="B311" s="78" t="s">
        <v>628</v>
      </c>
      <c r="C311" s="14" t="s">
        <v>750</v>
      </c>
      <c r="D311" s="154"/>
      <c r="E311" s="14" t="s">
        <v>751</v>
      </c>
      <c r="F311" s="154" t="str">
        <f>IF(wskakunin_sekkei2_SIKAKU__label="","",wskakunin_sekkei2_SIKAKU__label)</f>
        <v/>
      </c>
      <c r="G311" s="17"/>
      <c r="H311" s="17"/>
    </row>
    <row r="312" spans="1:8" ht="15" customHeight="1">
      <c r="A312" s="32"/>
      <c r="B312" s="78" t="s">
        <v>623</v>
      </c>
      <c r="C312" s="14" t="s">
        <v>1398</v>
      </c>
      <c r="D312" s="154"/>
      <c r="E312" s="14" t="s">
        <v>752</v>
      </c>
      <c r="F312" s="154" t="str">
        <f>IF(wskakunin_sekkei2_TOUROKU_KIKAN__label="","",wskakunin_sekkei2_TOUROKU_KIKAN__label)</f>
        <v/>
      </c>
      <c r="G312" s="17"/>
      <c r="H312" s="17"/>
    </row>
    <row r="313" spans="1:8" ht="15" customHeight="1">
      <c r="A313" s="32"/>
      <c r="B313" s="78" t="s">
        <v>624</v>
      </c>
      <c r="C313" s="14" t="s">
        <v>753</v>
      </c>
      <c r="D313" s="240"/>
      <c r="E313" s="14" t="s">
        <v>754</v>
      </c>
      <c r="F313" s="154" t="str">
        <f>IF(wskakunin_sekkei2_KENTIKUSI_NO="","",wskakunin_sekkei2_KENTIKUSI_NO)</f>
        <v/>
      </c>
      <c r="G313" s="17"/>
      <c r="H313" s="17"/>
    </row>
    <row r="314" spans="1:8" ht="15" customHeight="1">
      <c r="A314" s="44"/>
      <c r="B314" s="78" t="s">
        <v>11</v>
      </c>
      <c r="C314" s="14" t="s">
        <v>755</v>
      </c>
      <c r="D314" s="154"/>
      <c r="E314" s="14" t="s">
        <v>756</v>
      </c>
      <c r="F314" s="154" t="str">
        <f>IF(wskakunin_sekkei2_NAME="", "", wskakunin_sekkei2_NAME)</f>
        <v/>
      </c>
      <c r="G314" s="17"/>
      <c r="H314" s="17"/>
    </row>
    <row r="315" spans="1:8" ht="15" customHeight="1">
      <c r="A315" s="44"/>
      <c r="B315" s="78" t="s">
        <v>629</v>
      </c>
      <c r="C315" s="14" t="s">
        <v>757</v>
      </c>
      <c r="D315" s="154"/>
      <c r="E315" s="14" t="s">
        <v>758</v>
      </c>
      <c r="F315" s="154" t="str">
        <f>IF(wskakunin_sekkei2_JIMU__sikaku="", "", wskakunin_sekkei2_JIMU__sikaku)</f>
        <v/>
      </c>
      <c r="G315" s="17"/>
      <c r="H315" s="17"/>
    </row>
    <row r="316" spans="1:8" ht="15" customHeight="1">
      <c r="A316" s="44"/>
      <c r="B316" s="78" t="s">
        <v>121</v>
      </c>
      <c r="C316" s="14" t="s">
        <v>759</v>
      </c>
      <c r="D316" s="154"/>
      <c r="E316" s="14" t="s">
        <v>1485</v>
      </c>
      <c r="F316" s="154" t="str">
        <f>IF(wskakunin_sekkei2_JIMU_SIKAKU__label="","",wskakunin_sekkei2_JIMU_SIKAKU__label)</f>
        <v/>
      </c>
      <c r="G316" s="17"/>
      <c r="H316" s="17"/>
    </row>
    <row r="317" spans="1:8" ht="15" customHeight="1">
      <c r="A317" s="44"/>
      <c r="B317" s="78" t="s">
        <v>630</v>
      </c>
      <c r="C317" s="14" t="s">
        <v>1399</v>
      </c>
      <c r="D317" s="154"/>
      <c r="E317" s="14" t="s">
        <v>760</v>
      </c>
      <c r="F317" s="154" t="str">
        <f>IF(wskakunin_sekkei2_JIMU_TOUROKU_KIKAN__label="","",wskakunin_sekkei2_JIMU_TOUROKU_KIKAN__label)</f>
        <v/>
      </c>
      <c r="G317" s="17"/>
      <c r="H317" s="17"/>
    </row>
    <row r="318" spans="1:8" ht="15" customHeight="1">
      <c r="A318" s="44"/>
      <c r="B318" s="78" t="s">
        <v>631</v>
      </c>
      <c r="C318" s="14" t="s">
        <v>761</v>
      </c>
      <c r="D318" s="240"/>
      <c r="E318" s="14" t="s">
        <v>762</v>
      </c>
      <c r="F318" s="154" t="str">
        <f>IF(wskakunin_sekkei2_JIMU_NO="","",wskakunin_sekkei2_JIMU_NO)</f>
        <v/>
      </c>
      <c r="G318" s="17"/>
      <c r="H318" s="17"/>
    </row>
    <row r="319" spans="1:8" ht="15" customHeight="1">
      <c r="A319" s="60"/>
      <c r="B319" s="78" t="s">
        <v>122</v>
      </c>
      <c r="C319" s="14" t="s">
        <v>763</v>
      </c>
      <c r="D319" s="154"/>
      <c r="E319" s="14" t="s">
        <v>764</v>
      </c>
      <c r="F319" s="154" t="str">
        <f>IF(wskakunin_sekkei2_JIMU_NAME="", "", wskakunin_sekkei2_JIMU_NAME)</f>
        <v/>
      </c>
      <c r="G319" s="17"/>
      <c r="H319" s="17"/>
    </row>
    <row r="320" spans="1:8" ht="15" customHeight="1">
      <c r="A320" s="44"/>
      <c r="B320" s="78" t="s">
        <v>647</v>
      </c>
      <c r="D320" s="34"/>
      <c r="E320" s="14" t="s">
        <v>765</v>
      </c>
      <c r="F320" s="154" t="str">
        <f>wskakunin_sekkei2_JIMU_NAME&amp;" "&amp;wskakunin_sekkei2_NAME</f>
        <v/>
      </c>
      <c r="G320" s="17"/>
      <c r="H320" s="17"/>
    </row>
    <row r="321" spans="1:8" ht="15" customHeight="1">
      <c r="A321" s="60"/>
      <c r="B321" s="78" t="s">
        <v>12</v>
      </c>
      <c r="C321" s="14" t="s">
        <v>766</v>
      </c>
      <c r="D321" s="240"/>
      <c r="E321" s="14" t="s">
        <v>767</v>
      </c>
      <c r="F321" s="154" t="str">
        <f>IF(wskakunin_sekkei2_ZIP="", "", wskakunin_sekkei2_ZIP)</f>
        <v/>
      </c>
      <c r="G321" s="17"/>
      <c r="H321" s="17" t="s">
        <v>665</v>
      </c>
    </row>
    <row r="322" spans="1:8" ht="15" customHeight="1">
      <c r="A322" s="60"/>
      <c r="B322" s="78" t="s">
        <v>17</v>
      </c>
      <c r="C322" s="14" t="s">
        <v>768</v>
      </c>
      <c r="D322" s="154"/>
      <c r="E322" s="14" t="s">
        <v>769</v>
      </c>
      <c r="F322" s="154" t="str">
        <f>IF(wskakunin_sekkei2__address="", "", wskakunin_sekkei2__address)</f>
        <v/>
      </c>
      <c r="G322" s="17"/>
      <c r="H322" s="17"/>
    </row>
    <row r="323" spans="1:8" ht="15" customHeight="1">
      <c r="A323" s="60"/>
      <c r="B323" s="78" t="s">
        <v>14</v>
      </c>
      <c r="C323" s="14" t="s">
        <v>770</v>
      </c>
      <c r="D323" s="240"/>
      <c r="E323" s="14" t="s">
        <v>771</v>
      </c>
      <c r="F323" s="154" t="str">
        <f>IF(wskakunin_sekkei2_TEL="", "", wskakunin_sekkei2_TEL)</f>
        <v/>
      </c>
      <c r="G323" s="17"/>
      <c r="H323" s="17"/>
    </row>
    <row r="324" spans="1:8" ht="15" customHeight="1">
      <c r="A324" s="60"/>
      <c r="B324" s="78" t="s">
        <v>666</v>
      </c>
      <c r="C324" s="14" t="s">
        <v>772</v>
      </c>
      <c r="D324" s="240"/>
      <c r="E324" s="14" t="s">
        <v>773</v>
      </c>
      <c r="F324" s="154" t="str">
        <f>IF(wskakunin_sekkei2_DOC="","",wskakunin_sekkei2_DOC)</f>
        <v/>
      </c>
      <c r="G324" s="17"/>
      <c r="H324" s="17"/>
    </row>
    <row r="325" spans="1:8" ht="15" customHeight="1">
      <c r="A325" s="60"/>
      <c r="B325" s="86"/>
      <c r="G325" s="17"/>
      <c r="H325" s="17"/>
    </row>
    <row r="326" spans="1:8" ht="15" customHeight="1">
      <c r="A326" s="1" t="s">
        <v>669</v>
      </c>
      <c r="B326" s="49"/>
      <c r="G326" s="17"/>
      <c r="H326" s="17"/>
    </row>
    <row r="327" spans="1:8" ht="15" customHeight="1">
      <c r="A327" s="27"/>
      <c r="B327" s="78" t="s">
        <v>627</v>
      </c>
      <c r="C327" s="14" t="s">
        <v>774</v>
      </c>
      <c r="D327" s="154"/>
      <c r="E327" s="14" t="s">
        <v>775</v>
      </c>
      <c r="F327" s="154" t="str">
        <f>IF(wskakunin_sekkei3__sikaku="", "", wskakunin_sekkei3__sikaku)</f>
        <v/>
      </c>
      <c r="G327" s="17"/>
      <c r="H327" s="17"/>
    </row>
    <row r="328" spans="1:8" ht="15" customHeight="1">
      <c r="A328" s="32"/>
      <c r="B328" s="78" t="s">
        <v>628</v>
      </c>
      <c r="C328" s="14" t="s">
        <v>776</v>
      </c>
      <c r="D328" s="154"/>
      <c r="E328" s="14" t="s">
        <v>777</v>
      </c>
      <c r="F328" s="154" t="str">
        <f>IF(wskakunin_sekkei3_SIKAKU__label="","",wskakunin_sekkei3_SIKAKU__label)</f>
        <v/>
      </c>
      <c r="G328" s="17"/>
      <c r="H328" s="17"/>
    </row>
    <row r="329" spans="1:8" ht="15" customHeight="1">
      <c r="A329" s="32"/>
      <c r="B329" s="78" t="s">
        <v>623</v>
      </c>
      <c r="C329" s="14" t="s">
        <v>1400</v>
      </c>
      <c r="D329" s="154"/>
      <c r="E329" s="14" t="s">
        <v>778</v>
      </c>
      <c r="F329" s="154" t="str">
        <f>IF(wskakunin_sekkei3_TOUROKU_KIKAN__label="","",wskakunin_sekkei3_TOUROKU_KIKAN__label)</f>
        <v/>
      </c>
      <c r="G329" s="17"/>
      <c r="H329" s="17"/>
    </row>
    <row r="330" spans="1:8" ht="15" customHeight="1">
      <c r="A330" s="32"/>
      <c r="B330" s="78" t="s">
        <v>624</v>
      </c>
      <c r="C330" s="14" t="s">
        <v>779</v>
      </c>
      <c r="D330" s="240"/>
      <c r="E330" s="14" t="s">
        <v>780</v>
      </c>
      <c r="F330" s="154" t="str">
        <f>IF(wskakunin_sekkei3_KENTIKUSI_NO="","",wskakunin_sekkei3_KENTIKUSI_NO)</f>
        <v/>
      </c>
      <c r="G330" s="17"/>
      <c r="H330" s="17"/>
    </row>
    <row r="331" spans="1:8" ht="15" customHeight="1">
      <c r="A331" s="44"/>
      <c r="B331" s="78" t="s">
        <v>11</v>
      </c>
      <c r="C331" s="14" t="s">
        <v>781</v>
      </c>
      <c r="D331" s="154"/>
      <c r="E331" s="14" t="s">
        <v>782</v>
      </c>
      <c r="F331" s="154" t="str">
        <f>IF(wskakunin_sekkei3_NAME="", "", wskakunin_sekkei3_NAME)</f>
        <v/>
      </c>
      <c r="G331" s="17"/>
      <c r="H331" s="17"/>
    </row>
    <row r="332" spans="1:8" ht="15" customHeight="1">
      <c r="A332" s="44"/>
      <c r="B332" s="78" t="s">
        <v>629</v>
      </c>
      <c r="C332" s="14" t="s">
        <v>783</v>
      </c>
      <c r="D332" s="154"/>
      <c r="E332" s="14" t="s">
        <v>784</v>
      </c>
      <c r="F332" s="154" t="str">
        <f>IF(wskakunin_sekkei3_JIMU__sikaku="", "", wskakunin_sekkei3_JIMU__sikaku)</f>
        <v/>
      </c>
      <c r="G332" s="17"/>
      <c r="H332" s="17"/>
    </row>
    <row r="333" spans="1:8" ht="15" customHeight="1">
      <c r="A333" s="44"/>
      <c r="B333" s="78" t="s">
        <v>121</v>
      </c>
      <c r="C333" s="14" t="s">
        <v>785</v>
      </c>
      <c r="D333" s="154"/>
      <c r="E333" s="14" t="s">
        <v>1486</v>
      </c>
      <c r="F333" s="154" t="str">
        <f>IF(wskakunin_sekkei3_JIMU_SIKAKU__label="","",wskakunin_sekkei3_JIMU_SIKAKU__label)</f>
        <v/>
      </c>
      <c r="G333" s="17"/>
      <c r="H333" s="17"/>
    </row>
    <row r="334" spans="1:8" ht="15" customHeight="1">
      <c r="A334" s="44"/>
      <c r="B334" s="78" t="s">
        <v>630</v>
      </c>
      <c r="C334" s="14" t="s">
        <v>1401</v>
      </c>
      <c r="D334" s="154"/>
      <c r="E334" s="14" t="s">
        <v>786</v>
      </c>
      <c r="F334" s="154" t="str">
        <f>IF(wskakunin_sekkei3_JIMU_TOUROKU_KIKAN__label="","",wskakunin_sekkei3_JIMU_TOUROKU_KIKAN__label)</f>
        <v/>
      </c>
      <c r="G334" s="17"/>
      <c r="H334" s="17"/>
    </row>
    <row r="335" spans="1:8" ht="15" customHeight="1">
      <c r="A335" s="44"/>
      <c r="B335" s="78" t="s">
        <v>631</v>
      </c>
      <c r="C335" s="14" t="s">
        <v>787</v>
      </c>
      <c r="D335" s="240"/>
      <c r="E335" s="14" t="s">
        <v>788</v>
      </c>
      <c r="F335" s="154" t="str">
        <f>IF(wskakunin_sekkei3_JIMU_NO="","",wskakunin_sekkei3_JIMU_NO)</f>
        <v/>
      </c>
      <c r="G335" s="17"/>
      <c r="H335" s="17"/>
    </row>
    <row r="336" spans="1:8" ht="15" customHeight="1">
      <c r="A336" s="60"/>
      <c r="B336" s="78" t="s">
        <v>122</v>
      </c>
      <c r="C336" s="14" t="s">
        <v>789</v>
      </c>
      <c r="D336" s="154"/>
      <c r="E336" s="14" t="s">
        <v>790</v>
      </c>
      <c r="F336" s="154" t="str">
        <f>IF(wskakunin_sekkei3_JIMU_NAME="", "", wskakunin_sekkei3_JIMU_NAME)</f>
        <v/>
      </c>
      <c r="G336" s="17"/>
      <c r="H336" s="17"/>
    </row>
    <row r="337" spans="1:8" ht="15" customHeight="1">
      <c r="A337" s="44"/>
      <c r="B337" s="78" t="s">
        <v>647</v>
      </c>
      <c r="D337" s="34"/>
      <c r="E337" s="14" t="s">
        <v>791</v>
      </c>
      <c r="F337" s="154" t="str">
        <f>wskakunin_sekkei3_JIMU_NAME&amp;" "&amp;wskakunin_sekkei3_NAME</f>
        <v/>
      </c>
      <c r="G337" s="17"/>
      <c r="H337" s="17"/>
    </row>
    <row r="338" spans="1:8" ht="15" customHeight="1">
      <c r="A338" s="60"/>
      <c r="B338" s="78" t="s">
        <v>12</v>
      </c>
      <c r="C338" s="14" t="s">
        <v>792</v>
      </c>
      <c r="D338" s="240"/>
      <c r="E338" s="14" t="s">
        <v>793</v>
      </c>
      <c r="F338" s="154" t="str">
        <f>IF(wskakunin_sekkei3_ZIP="", "", wskakunin_sekkei3_ZIP)</f>
        <v/>
      </c>
      <c r="G338" s="17"/>
      <c r="H338" s="17" t="s">
        <v>665</v>
      </c>
    </row>
    <row r="339" spans="1:8" ht="15" customHeight="1">
      <c r="A339" s="60"/>
      <c r="B339" s="78" t="s">
        <v>17</v>
      </c>
      <c r="C339" s="14" t="s">
        <v>794</v>
      </c>
      <c r="D339" s="154"/>
      <c r="E339" s="14" t="s">
        <v>795</v>
      </c>
      <c r="F339" s="154" t="str">
        <f>IF(wskakunin_sekkei3__address="", "", wskakunin_sekkei3__address)</f>
        <v/>
      </c>
      <c r="G339" s="17"/>
      <c r="H339" s="17"/>
    </row>
    <row r="340" spans="1:8" ht="15" customHeight="1">
      <c r="A340" s="60"/>
      <c r="B340" s="78" t="s">
        <v>14</v>
      </c>
      <c r="C340" s="14" t="s">
        <v>796</v>
      </c>
      <c r="D340" s="240"/>
      <c r="E340" s="14" t="s">
        <v>797</v>
      </c>
      <c r="F340" s="154" t="str">
        <f>IF(wskakunin_sekkei3_TEL="", "", wskakunin_sekkei3_TEL)</f>
        <v/>
      </c>
      <c r="G340" s="17"/>
      <c r="H340" s="17"/>
    </row>
    <row r="341" spans="1:8" ht="15" customHeight="1">
      <c r="A341" s="60"/>
      <c r="B341" s="78" t="s">
        <v>666</v>
      </c>
      <c r="C341" s="14" t="s">
        <v>798</v>
      </c>
      <c r="D341" s="240"/>
      <c r="E341" s="14" t="s">
        <v>799</v>
      </c>
      <c r="F341" s="154" t="str">
        <f>IF(wskakunin_sekkei3_DOC="","",wskakunin_sekkei3_DOC)</f>
        <v/>
      </c>
      <c r="G341" s="17"/>
      <c r="H341" s="17"/>
    </row>
    <row r="342" spans="1:8" ht="15" customHeight="1">
      <c r="A342" s="60"/>
      <c r="B342" s="86"/>
      <c r="G342" s="17"/>
      <c r="H342" s="17"/>
    </row>
    <row r="343" spans="1:8" ht="15" customHeight="1">
      <c r="A343" s="46" t="s">
        <v>670</v>
      </c>
      <c r="B343" s="49"/>
      <c r="G343" s="17"/>
      <c r="H343" s="17"/>
    </row>
    <row r="344" spans="1:8" ht="15" customHeight="1">
      <c r="A344" s="84"/>
      <c r="B344" s="78" t="s">
        <v>627</v>
      </c>
      <c r="C344" s="14" t="s">
        <v>800</v>
      </c>
      <c r="D344" s="154"/>
      <c r="E344" s="14" t="s">
        <v>801</v>
      </c>
      <c r="F344" s="154" t="str">
        <f>IF(wskakunin_sekkei4__sikaku="", "", wskakunin_sekkei4__sikaku)</f>
        <v/>
      </c>
      <c r="G344" s="17"/>
      <c r="H344" s="17"/>
    </row>
    <row r="345" spans="1:8" ht="15" customHeight="1">
      <c r="A345" s="84"/>
      <c r="B345" s="78" t="s">
        <v>628</v>
      </c>
      <c r="C345" s="14" t="s">
        <v>802</v>
      </c>
      <c r="D345" s="154"/>
      <c r="E345" s="14" t="s">
        <v>803</v>
      </c>
      <c r="F345" s="154" t="str">
        <f>IF(wskakunin_sekkei4_SIKAKU__label="","",wskakunin_sekkei4_SIKAKU__label)</f>
        <v/>
      </c>
      <c r="G345" s="17"/>
      <c r="H345" s="17"/>
    </row>
    <row r="346" spans="1:8" ht="15" customHeight="1">
      <c r="A346" s="84"/>
      <c r="B346" s="78" t="s">
        <v>623</v>
      </c>
      <c r="C346" s="14" t="s">
        <v>1402</v>
      </c>
      <c r="D346" s="154"/>
      <c r="E346" s="14" t="s">
        <v>804</v>
      </c>
      <c r="F346" s="154" t="str">
        <f>IF(wskakunin_sekkei4_TOUROKU_KIKAN__label="","",wskakunin_sekkei4_TOUROKU_KIKAN__label)</f>
        <v/>
      </c>
      <c r="G346" s="17"/>
      <c r="H346" s="17"/>
    </row>
    <row r="347" spans="1:8" ht="15" customHeight="1">
      <c r="A347" s="84"/>
      <c r="B347" s="78" t="s">
        <v>624</v>
      </c>
      <c r="C347" s="14" t="s">
        <v>805</v>
      </c>
      <c r="D347" s="240"/>
      <c r="E347" s="14" t="s">
        <v>806</v>
      </c>
      <c r="F347" s="154" t="str">
        <f>IF(wskakunin_sekkei4_KENTIKUSI_NO="","",wskakunin_sekkei4_KENTIKUSI_NO)</f>
        <v/>
      </c>
      <c r="G347" s="17"/>
      <c r="H347" s="17"/>
    </row>
    <row r="348" spans="1:8" ht="15" customHeight="1">
      <c r="A348" s="50"/>
      <c r="B348" s="78" t="s">
        <v>11</v>
      </c>
      <c r="C348" s="14" t="s">
        <v>807</v>
      </c>
      <c r="D348" s="154"/>
      <c r="E348" s="14" t="s">
        <v>808</v>
      </c>
      <c r="F348" s="154" t="str">
        <f>IF(wskakunin_sekkei4_NAME="", "", wskakunin_sekkei4_NAME)</f>
        <v/>
      </c>
      <c r="G348" s="17"/>
      <c r="H348" s="17"/>
    </row>
    <row r="349" spans="1:8" ht="15" customHeight="1">
      <c r="A349" s="50"/>
      <c r="B349" s="78" t="s">
        <v>629</v>
      </c>
      <c r="C349" s="14" t="s">
        <v>809</v>
      </c>
      <c r="D349" s="154"/>
      <c r="E349" s="14" t="s">
        <v>810</v>
      </c>
      <c r="F349" s="154" t="str">
        <f>IF(wskakunin_sekkei4_JIMU__sikaku="", "", wskakunin_sekkei4_JIMU__sikaku)</f>
        <v/>
      </c>
      <c r="G349" s="17"/>
      <c r="H349" s="17"/>
    </row>
    <row r="350" spans="1:8" ht="15" customHeight="1">
      <c r="A350" s="50"/>
      <c r="B350" s="78" t="s">
        <v>121</v>
      </c>
      <c r="C350" s="14" t="s">
        <v>811</v>
      </c>
      <c r="D350" s="154"/>
      <c r="E350" s="14" t="s">
        <v>1487</v>
      </c>
      <c r="F350" s="154" t="str">
        <f>IF(wskakunin_sekkei4_JIMU_SIKAKU__label="","",wskakunin_sekkei4_JIMU_SIKAKU__label)</f>
        <v/>
      </c>
      <c r="G350" s="17"/>
      <c r="H350" s="17"/>
    </row>
    <row r="351" spans="1:8" ht="15" customHeight="1">
      <c r="A351" s="50"/>
      <c r="B351" s="78" t="s">
        <v>630</v>
      </c>
      <c r="C351" s="14" t="s">
        <v>1403</v>
      </c>
      <c r="D351" s="154"/>
      <c r="E351" s="14" t="s">
        <v>812</v>
      </c>
      <c r="F351" s="154" t="str">
        <f>IF(wskakunin_sekkei4_JIMU_TOUROKU_KIKAN__label="","",wskakunin_sekkei4_JIMU_TOUROKU_KIKAN__label)</f>
        <v/>
      </c>
      <c r="G351" s="17"/>
      <c r="H351" s="17"/>
    </row>
    <row r="352" spans="1:8" ht="15" customHeight="1">
      <c r="A352" s="50"/>
      <c r="B352" s="78" t="s">
        <v>631</v>
      </c>
      <c r="C352" s="14" t="s">
        <v>813</v>
      </c>
      <c r="D352" s="240"/>
      <c r="E352" s="14" t="s">
        <v>814</v>
      </c>
      <c r="F352" s="154" t="str">
        <f>IF(wskakunin_sekkei4_JIMU_NO="","",wskakunin_sekkei4_JIMU_NO)</f>
        <v/>
      </c>
      <c r="G352" s="17"/>
      <c r="H352" s="17"/>
    </row>
    <row r="353" spans="1:8" ht="15" customHeight="1">
      <c r="A353" s="50"/>
      <c r="B353" s="78" t="s">
        <v>122</v>
      </c>
      <c r="C353" s="14" t="s">
        <v>815</v>
      </c>
      <c r="D353" s="154"/>
      <c r="E353" s="14" t="s">
        <v>816</v>
      </c>
      <c r="F353" s="154" t="str">
        <f>IF(wskakunin_sekkei4_JIMU_NAME="", "", wskakunin_sekkei4_JIMU_NAME)</f>
        <v/>
      </c>
      <c r="G353" s="17"/>
      <c r="H353" s="17"/>
    </row>
    <row r="354" spans="1:8" ht="15" customHeight="1">
      <c r="A354" s="50"/>
      <c r="B354" s="78" t="s">
        <v>647</v>
      </c>
      <c r="D354" s="34"/>
      <c r="E354" s="14" t="s">
        <v>817</v>
      </c>
      <c r="F354" s="154" t="str">
        <f>wskakunin_sekkei4_JIMU_NAME&amp;" "&amp;wskakunin_sekkei4_NAME</f>
        <v/>
      </c>
      <c r="G354" s="17"/>
      <c r="H354" s="17"/>
    </row>
    <row r="355" spans="1:8" ht="15" customHeight="1">
      <c r="A355" s="50"/>
      <c r="B355" s="78" t="s">
        <v>12</v>
      </c>
      <c r="C355" s="14" t="s">
        <v>818</v>
      </c>
      <c r="D355" s="240"/>
      <c r="E355" s="14" t="s">
        <v>819</v>
      </c>
      <c r="F355" s="154" t="str">
        <f>IF(wskakunin_sekkei4_ZIP="", "", wskakunin_sekkei4_ZIP)</f>
        <v/>
      </c>
      <c r="G355" s="17"/>
      <c r="H355" s="17" t="s">
        <v>665</v>
      </c>
    </row>
    <row r="356" spans="1:8" ht="15" customHeight="1">
      <c r="A356" s="50"/>
      <c r="B356" s="78" t="s">
        <v>17</v>
      </c>
      <c r="C356" s="14" t="s">
        <v>820</v>
      </c>
      <c r="D356" s="154"/>
      <c r="E356" s="14" t="s">
        <v>821</v>
      </c>
      <c r="F356" s="154" t="str">
        <f>IF(wskakunin_sekkei4__address="", "", wskakunin_sekkei4__address)</f>
        <v/>
      </c>
      <c r="G356" s="17"/>
      <c r="H356" s="17"/>
    </row>
    <row r="357" spans="1:8" ht="15" customHeight="1">
      <c r="A357" s="50"/>
      <c r="B357" s="78" t="s">
        <v>14</v>
      </c>
      <c r="C357" s="14" t="s">
        <v>822</v>
      </c>
      <c r="D357" s="240"/>
      <c r="E357" s="14" t="s">
        <v>823</v>
      </c>
      <c r="F357" s="154" t="str">
        <f>IF(wskakunin_sekkei4_TEL="", "", wskakunin_sekkei4_TEL)</f>
        <v/>
      </c>
      <c r="G357" s="17"/>
      <c r="H357" s="17"/>
    </row>
    <row r="358" spans="1:8" ht="15" customHeight="1">
      <c r="A358" s="50"/>
      <c r="B358" s="78" t="s">
        <v>666</v>
      </c>
      <c r="C358" s="14" t="s">
        <v>824</v>
      </c>
      <c r="D358" s="240"/>
      <c r="E358" s="14" t="s">
        <v>825</v>
      </c>
      <c r="F358" s="154" t="str">
        <f>IF(wskakunin_sekkei4_DOC="","",wskakunin_sekkei4_DOC)</f>
        <v/>
      </c>
      <c r="G358" s="17"/>
      <c r="H358" s="17"/>
    </row>
    <row r="359" spans="1:8" ht="15" customHeight="1">
      <c r="A359" s="51"/>
      <c r="B359" s="86"/>
      <c r="G359" s="17"/>
      <c r="H359" s="17"/>
    </row>
    <row r="360" spans="1:8" ht="15" customHeight="1">
      <c r="A360" s="1" t="s">
        <v>1767</v>
      </c>
      <c r="B360" s="49"/>
      <c r="G360" s="17"/>
      <c r="H360" s="17"/>
    </row>
    <row r="361" spans="1:8" ht="15" customHeight="1">
      <c r="A361" s="27"/>
      <c r="B361" s="78" t="s">
        <v>627</v>
      </c>
      <c r="C361" s="14" t="s">
        <v>1768</v>
      </c>
      <c r="D361" s="154"/>
      <c r="E361" s="14" t="s">
        <v>1769</v>
      </c>
      <c r="F361" s="154" t="str">
        <f>IF(wskakunin_sekkei5__sikaku="", "", wskakunin_sekkei5__sikaku)</f>
        <v/>
      </c>
      <c r="H361" s="17"/>
    </row>
    <row r="362" spans="1:8" ht="15" customHeight="1">
      <c r="A362" s="32"/>
      <c r="B362" s="78" t="s">
        <v>628</v>
      </c>
      <c r="C362" s="14" t="s">
        <v>1770</v>
      </c>
      <c r="D362" s="154"/>
      <c r="E362" s="14" t="s">
        <v>1771</v>
      </c>
      <c r="F362" s="154" t="str">
        <f>IF(wskakunin_sekkei5_SIKAKU__label="","",wskakunin_sekkei5_SIKAKU__label)</f>
        <v/>
      </c>
      <c r="H362" s="17"/>
    </row>
    <row r="363" spans="1:8" ht="15" customHeight="1">
      <c r="A363" s="32"/>
      <c r="B363" s="78" t="s">
        <v>623</v>
      </c>
      <c r="C363" s="14" t="s">
        <v>1772</v>
      </c>
      <c r="D363" s="154"/>
      <c r="E363" s="14" t="s">
        <v>1773</v>
      </c>
      <c r="F363" s="154" t="str">
        <f>IF(wskakunin_sekkei5_TOUROKU_KIKAN__label="","",wskakunin_sekkei5_TOUROKU_KIKAN__label)</f>
        <v/>
      </c>
      <c r="H363" s="17"/>
    </row>
    <row r="364" spans="1:8" ht="15" customHeight="1">
      <c r="A364" s="32"/>
      <c r="B364" s="78" t="s">
        <v>624</v>
      </c>
      <c r="C364" s="14" t="s">
        <v>1774</v>
      </c>
      <c r="D364" s="240"/>
      <c r="E364" s="14" t="s">
        <v>1775</v>
      </c>
      <c r="F364" s="154" t="str">
        <f>IF(wskakunin_sekkei5_KENTIKUSI_NO="","",wskakunin_sekkei5_KENTIKUSI_NO)</f>
        <v/>
      </c>
      <c r="H364" s="17"/>
    </row>
    <row r="365" spans="1:8" ht="15" customHeight="1">
      <c r="A365" s="44"/>
      <c r="B365" s="78" t="s">
        <v>11</v>
      </c>
      <c r="C365" s="14" t="s">
        <v>1776</v>
      </c>
      <c r="D365" s="154"/>
      <c r="E365" s="14" t="s">
        <v>1777</v>
      </c>
      <c r="F365" s="154" t="str">
        <f>IF(wskakunin_sekkei5_NAME="", "", wskakunin_sekkei5_NAME)</f>
        <v/>
      </c>
      <c r="H365" s="17"/>
    </row>
    <row r="366" spans="1:8" ht="15" customHeight="1">
      <c r="A366" s="44"/>
      <c r="B366" s="78" t="s">
        <v>629</v>
      </c>
      <c r="C366" s="14" t="s">
        <v>1778</v>
      </c>
      <c r="D366" s="154"/>
      <c r="E366" s="14" t="s">
        <v>1779</v>
      </c>
      <c r="F366" s="154" t="str">
        <f>IF(wskakunin_sekkei5_JIMU__sikaku="", "", wskakunin_sekkei5_JIMU__sikaku)</f>
        <v/>
      </c>
      <c r="H366" s="17"/>
    </row>
    <row r="367" spans="1:8" ht="15" customHeight="1">
      <c r="A367" s="44"/>
      <c r="B367" s="78" t="s">
        <v>121</v>
      </c>
      <c r="C367" s="14" t="s">
        <v>1780</v>
      </c>
      <c r="D367" s="154"/>
      <c r="E367" s="14" t="s">
        <v>1781</v>
      </c>
      <c r="F367" s="154" t="str">
        <f>IF(wskakunin_sekkei5_JIMU_SIKAKU__label="","",wskakunin_sekkei5_JIMU_SIKAKU__label)</f>
        <v/>
      </c>
      <c r="H367" s="17"/>
    </row>
    <row r="368" spans="1:8" ht="15" customHeight="1">
      <c r="A368" s="44"/>
      <c r="B368" s="78" t="s">
        <v>630</v>
      </c>
      <c r="C368" s="14" t="s">
        <v>1782</v>
      </c>
      <c r="D368" s="154"/>
      <c r="E368" s="14" t="s">
        <v>1783</v>
      </c>
      <c r="F368" s="154" t="str">
        <f>IF(wskakunin_sekkei5_JIMU_TOUROKU_KIKAN__label="","",wskakunin_sekkei5_JIMU_TOUROKU_KIKAN__label)</f>
        <v/>
      </c>
      <c r="H368" s="17"/>
    </row>
    <row r="369" spans="1:8" ht="15" customHeight="1">
      <c r="A369" s="44"/>
      <c r="B369" s="78" t="s">
        <v>631</v>
      </c>
      <c r="C369" s="14" t="s">
        <v>1784</v>
      </c>
      <c r="D369" s="240"/>
      <c r="E369" s="14" t="s">
        <v>1785</v>
      </c>
      <c r="F369" s="154" t="str">
        <f>IF(wskakunin_sekkei5_JIMU_NO="","",wskakunin_sekkei5_JIMU_NO)</f>
        <v/>
      </c>
      <c r="H369" s="17"/>
    </row>
    <row r="370" spans="1:8" ht="15" customHeight="1">
      <c r="A370" s="60"/>
      <c r="B370" s="78" t="s">
        <v>122</v>
      </c>
      <c r="C370" s="14" t="s">
        <v>1786</v>
      </c>
      <c r="D370" s="154"/>
      <c r="E370" s="14" t="s">
        <v>1787</v>
      </c>
      <c r="F370" s="154" t="str">
        <f>IF(wskakunin_sekkei5_JIMU_NAME="", "", wskakunin_sekkei5_JIMU_NAME)</f>
        <v/>
      </c>
      <c r="H370" s="17"/>
    </row>
    <row r="371" spans="1:8" ht="15" customHeight="1">
      <c r="A371" s="44"/>
      <c r="B371" s="78" t="s">
        <v>647</v>
      </c>
      <c r="D371" s="34"/>
      <c r="E371" s="14" t="s">
        <v>1788</v>
      </c>
      <c r="F371" s="154" t="str">
        <f>wskakunin_sekkei5_JIMU_NAME&amp;" "&amp;wskakunin_sekkei5_NAME</f>
        <v/>
      </c>
      <c r="H371" s="17"/>
    </row>
    <row r="372" spans="1:8" ht="15" customHeight="1">
      <c r="A372" s="60"/>
      <c r="B372" s="78" t="s">
        <v>12</v>
      </c>
      <c r="C372" s="14" t="s">
        <v>1789</v>
      </c>
      <c r="D372" s="240"/>
      <c r="E372" s="14" t="s">
        <v>1790</v>
      </c>
      <c r="F372" s="154" t="str">
        <f>IF(wskakunin_sekkei5_ZIP="", "", wskakunin_sekkei5_ZIP)</f>
        <v/>
      </c>
      <c r="H372" s="17" t="s">
        <v>665</v>
      </c>
    </row>
    <row r="373" spans="1:8" ht="15" customHeight="1">
      <c r="A373" s="60"/>
      <c r="B373" s="78" t="s">
        <v>17</v>
      </c>
      <c r="C373" s="14" t="s">
        <v>1791</v>
      </c>
      <c r="D373" s="154"/>
      <c r="E373" s="14" t="s">
        <v>1792</v>
      </c>
      <c r="F373" s="154" t="str">
        <f>IF(wskakunin_sekkei5__address="", "", wskakunin_sekkei5__address)</f>
        <v/>
      </c>
      <c r="H373" s="17"/>
    </row>
    <row r="374" spans="1:8" ht="15" customHeight="1">
      <c r="A374" s="60"/>
      <c r="B374" s="78" t="s">
        <v>14</v>
      </c>
      <c r="C374" s="14" t="s">
        <v>1793</v>
      </c>
      <c r="D374" s="240"/>
      <c r="E374" s="14" t="s">
        <v>1794</v>
      </c>
      <c r="F374" s="154" t="str">
        <f>IF(wskakunin_sekkei5_TEL="", "", wskakunin_sekkei5_TEL)</f>
        <v/>
      </c>
      <c r="H374" s="17"/>
    </row>
    <row r="375" spans="1:8" ht="15" customHeight="1">
      <c r="A375" s="60"/>
      <c r="B375" s="78" t="s">
        <v>666</v>
      </c>
      <c r="C375" s="14" t="s">
        <v>1795</v>
      </c>
      <c r="D375" s="240"/>
      <c r="E375" s="14" t="s">
        <v>1796</v>
      </c>
      <c r="F375" s="154" t="str">
        <f>IF(wskakunin_sekkei5_DOC="","",wskakunin_sekkei5_DOC)</f>
        <v/>
      </c>
      <c r="H375" s="17"/>
    </row>
    <row r="376" spans="1:8" ht="15" customHeight="1">
      <c r="A376" s="60"/>
      <c r="B376" s="86"/>
      <c r="H376" s="17"/>
    </row>
    <row r="377" spans="1:8" ht="15" customHeight="1">
      <c r="A377" s="1" t="s">
        <v>1972</v>
      </c>
      <c r="B377" s="49"/>
      <c r="H377" s="17"/>
    </row>
    <row r="378" spans="1:8" ht="15" customHeight="1">
      <c r="A378" s="27"/>
      <c r="B378" s="78" t="s">
        <v>627</v>
      </c>
      <c r="C378" s="14" t="s">
        <v>1797</v>
      </c>
      <c r="D378" s="154"/>
      <c r="E378" s="14" t="s">
        <v>1798</v>
      </c>
      <c r="F378" s="154" t="str">
        <f>IF(wskakunin_sekkei6__sikaku="", "", wskakunin_sekkei6__sikaku)</f>
        <v/>
      </c>
      <c r="H378" s="17"/>
    </row>
    <row r="379" spans="1:8" ht="15" customHeight="1">
      <c r="A379" s="32"/>
      <c r="B379" s="78" t="s">
        <v>628</v>
      </c>
      <c r="C379" s="14" t="s">
        <v>1799</v>
      </c>
      <c r="D379" s="154"/>
      <c r="E379" s="14" t="s">
        <v>1800</v>
      </c>
      <c r="F379" s="154" t="str">
        <f>IF(wskakunin_sekkei6_SIKAKU__label="","",wskakunin_sekkei6_SIKAKU__label)</f>
        <v/>
      </c>
      <c r="H379" s="17"/>
    </row>
    <row r="380" spans="1:8" ht="15" customHeight="1">
      <c r="A380" s="32"/>
      <c r="B380" s="78" t="s">
        <v>623</v>
      </c>
      <c r="C380" s="14" t="s">
        <v>1801</v>
      </c>
      <c r="D380" s="154"/>
      <c r="E380" s="14" t="s">
        <v>1802</v>
      </c>
      <c r="F380" s="154" t="str">
        <f>IF(wskakunin_sekkei6_TOUROKU_KIKAN__label="","",wskakunin_sekkei6_TOUROKU_KIKAN__label)</f>
        <v/>
      </c>
      <c r="H380" s="17"/>
    </row>
    <row r="381" spans="1:8" ht="15" customHeight="1">
      <c r="A381" s="32"/>
      <c r="B381" s="78" t="s">
        <v>624</v>
      </c>
      <c r="C381" s="14" t="s">
        <v>1803</v>
      </c>
      <c r="D381" s="240"/>
      <c r="E381" s="14" t="s">
        <v>1804</v>
      </c>
      <c r="F381" s="154" t="str">
        <f>IF(wskakunin_sekkei6_KENTIKUSI_NO="","",wskakunin_sekkei6_KENTIKUSI_NO)</f>
        <v/>
      </c>
      <c r="H381" s="17"/>
    </row>
    <row r="382" spans="1:8" ht="15" customHeight="1">
      <c r="A382" s="44"/>
      <c r="B382" s="78" t="s">
        <v>11</v>
      </c>
      <c r="C382" s="14" t="s">
        <v>1805</v>
      </c>
      <c r="D382" s="154"/>
      <c r="E382" s="14" t="s">
        <v>1806</v>
      </c>
      <c r="F382" s="154" t="str">
        <f>IF(wskakunin_sekkei6_NAME="", "", wskakunin_sekkei6_NAME)</f>
        <v/>
      </c>
      <c r="H382" s="17"/>
    </row>
    <row r="383" spans="1:8" ht="15" customHeight="1">
      <c r="A383" s="44"/>
      <c r="B383" s="78" t="s">
        <v>629</v>
      </c>
      <c r="C383" s="14" t="s">
        <v>1807</v>
      </c>
      <c r="D383" s="154"/>
      <c r="E383" s="14" t="s">
        <v>1808</v>
      </c>
      <c r="F383" s="154" t="str">
        <f>IF(wskakunin_sekkei6_JIMU__sikaku="", "", wskakunin_sekkei6_JIMU__sikaku)</f>
        <v/>
      </c>
      <c r="H383" s="17"/>
    </row>
    <row r="384" spans="1:8" ht="15" customHeight="1">
      <c r="A384" s="44"/>
      <c r="B384" s="78" t="s">
        <v>121</v>
      </c>
      <c r="C384" s="14" t="s">
        <v>1809</v>
      </c>
      <c r="D384" s="154"/>
      <c r="E384" s="14" t="s">
        <v>1810</v>
      </c>
      <c r="F384" s="154" t="str">
        <f>IF(wskakunin_sekkei6_JIMU_SIKAKU__label="","",wskakunin_sekkei6_JIMU_SIKAKU__label)</f>
        <v/>
      </c>
      <c r="H384" s="17"/>
    </row>
    <row r="385" spans="1:8" ht="15" customHeight="1">
      <c r="A385" s="44"/>
      <c r="B385" s="78" t="s">
        <v>630</v>
      </c>
      <c r="C385" s="14" t="s">
        <v>1811</v>
      </c>
      <c r="D385" s="154"/>
      <c r="E385" s="14" t="s">
        <v>1812</v>
      </c>
      <c r="F385" s="154" t="str">
        <f>IF(wskakunin_sekkei6_JIMU_TOUROKU_KIKAN__label="","",wskakunin_sekkei6_JIMU_TOUROKU_KIKAN__label)</f>
        <v/>
      </c>
      <c r="H385" s="17"/>
    </row>
    <row r="386" spans="1:8" ht="15" customHeight="1">
      <c r="A386" s="44"/>
      <c r="B386" s="78" t="s">
        <v>631</v>
      </c>
      <c r="C386" s="14" t="s">
        <v>1813</v>
      </c>
      <c r="D386" s="240"/>
      <c r="E386" s="14" t="s">
        <v>1814</v>
      </c>
      <c r="F386" s="154" t="str">
        <f>IF(wskakunin_sekkei6_JIMU_NO="","",wskakunin_sekkei6_JIMU_NO)</f>
        <v/>
      </c>
      <c r="H386" s="17"/>
    </row>
    <row r="387" spans="1:8" ht="15" customHeight="1">
      <c r="A387" s="60"/>
      <c r="B387" s="78" t="s">
        <v>122</v>
      </c>
      <c r="C387" s="14" t="s">
        <v>1815</v>
      </c>
      <c r="D387" s="154"/>
      <c r="E387" s="14" t="s">
        <v>1816</v>
      </c>
      <c r="F387" s="154" t="str">
        <f>IF(wskakunin_sekkei6_JIMU_NAME="", "", wskakunin_sekkei6_JIMU_NAME)</f>
        <v/>
      </c>
      <c r="H387" s="17"/>
    </row>
    <row r="388" spans="1:8" ht="15" customHeight="1">
      <c r="A388" s="44"/>
      <c r="B388" s="78" t="s">
        <v>647</v>
      </c>
      <c r="D388" s="34"/>
      <c r="E388" s="14" t="s">
        <v>1817</v>
      </c>
      <c r="F388" s="154" t="str">
        <f>wskakunin_sekkei6_JIMU_NAME&amp;" "&amp;wskakunin_sekkei6_NAME</f>
        <v/>
      </c>
      <c r="H388" s="17"/>
    </row>
    <row r="389" spans="1:8" ht="15" customHeight="1">
      <c r="A389" s="60"/>
      <c r="B389" s="78" t="s">
        <v>12</v>
      </c>
      <c r="C389" s="14" t="s">
        <v>1818</v>
      </c>
      <c r="D389" s="240"/>
      <c r="E389" s="14" t="s">
        <v>1819</v>
      </c>
      <c r="F389" s="154" t="str">
        <f>IF(wskakunin_sekkei6_ZIP="", "", wskakunin_sekkei6_ZIP)</f>
        <v/>
      </c>
      <c r="H389" s="17" t="s">
        <v>665</v>
      </c>
    </row>
    <row r="390" spans="1:8" ht="15" customHeight="1">
      <c r="A390" s="60"/>
      <c r="B390" s="78" t="s">
        <v>17</v>
      </c>
      <c r="C390" s="14" t="s">
        <v>1820</v>
      </c>
      <c r="D390" s="154"/>
      <c r="E390" s="14" t="s">
        <v>1821</v>
      </c>
      <c r="F390" s="154" t="str">
        <f>IF(wskakunin_sekkei6__address="", "", wskakunin_sekkei6__address)</f>
        <v/>
      </c>
      <c r="H390" s="17"/>
    </row>
    <row r="391" spans="1:8" ht="15" customHeight="1">
      <c r="A391" s="60"/>
      <c r="B391" s="78" t="s">
        <v>14</v>
      </c>
      <c r="C391" s="14" t="s">
        <v>1822</v>
      </c>
      <c r="D391" s="240"/>
      <c r="E391" s="14" t="s">
        <v>1823</v>
      </c>
      <c r="F391" s="154" t="str">
        <f>IF(wskakunin_sekkei6_TEL="", "", wskakunin_sekkei6_TEL)</f>
        <v/>
      </c>
      <c r="H391" s="17"/>
    </row>
    <row r="392" spans="1:8" ht="15" customHeight="1">
      <c r="A392" s="60"/>
      <c r="B392" s="78" t="s">
        <v>666</v>
      </c>
      <c r="C392" s="14" t="s">
        <v>1824</v>
      </c>
      <c r="D392" s="240"/>
      <c r="E392" s="14" t="s">
        <v>1825</v>
      </c>
      <c r="F392" s="154" t="str">
        <f>IF(wskakunin_sekkei6_DOC="","",wskakunin_sekkei6_DOC)</f>
        <v/>
      </c>
      <c r="H392" s="17"/>
    </row>
    <row r="393" spans="1:8" ht="15" customHeight="1">
      <c r="A393" s="60"/>
      <c r="B393" s="86"/>
      <c r="H393" s="17"/>
    </row>
    <row r="394" spans="1:8" ht="15" customHeight="1">
      <c r="A394" s="1" t="s">
        <v>1973</v>
      </c>
      <c r="B394" s="49"/>
      <c r="H394" s="17"/>
    </row>
    <row r="395" spans="1:8" ht="15" customHeight="1">
      <c r="A395" s="27"/>
      <c r="B395" s="78" t="s">
        <v>627</v>
      </c>
      <c r="C395" s="14" t="s">
        <v>1826</v>
      </c>
      <c r="D395" s="154"/>
      <c r="E395" s="14" t="s">
        <v>1827</v>
      </c>
      <c r="F395" s="154" t="str">
        <f>IF(wskakunin_sekkei7__sikaku="", "", wskakunin_sekkei7__sikaku)</f>
        <v/>
      </c>
      <c r="H395" s="17"/>
    </row>
    <row r="396" spans="1:8" ht="15" customHeight="1">
      <c r="A396" s="32"/>
      <c r="B396" s="78" t="s">
        <v>628</v>
      </c>
      <c r="C396" s="14" t="s">
        <v>1828</v>
      </c>
      <c r="D396" s="154"/>
      <c r="E396" s="14" t="s">
        <v>1829</v>
      </c>
      <c r="F396" s="154" t="str">
        <f>IF(wskakunin_sekkei7_SIKAKU__label="","",wskakunin_sekkei7_SIKAKU__label)</f>
        <v/>
      </c>
      <c r="H396" s="17"/>
    </row>
    <row r="397" spans="1:8" ht="15" customHeight="1">
      <c r="A397" s="32"/>
      <c r="B397" s="78" t="s">
        <v>623</v>
      </c>
      <c r="C397" s="14" t="s">
        <v>1830</v>
      </c>
      <c r="D397" s="154"/>
      <c r="E397" s="14" t="s">
        <v>1831</v>
      </c>
      <c r="F397" s="154" t="str">
        <f>IF(wskakunin_sekkei7_TOUROKU_KIKAN__label="","",wskakunin_sekkei7_TOUROKU_KIKAN__label)</f>
        <v/>
      </c>
      <c r="H397" s="17"/>
    </row>
    <row r="398" spans="1:8" ht="15" customHeight="1">
      <c r="A398" s="32"/>
      <c r="B398" s="78" t="s">
        <v>624</v>
      </c>
      <c r="C398" s="14" t="s">
        <v>1832</v>
      </c>
      <c r="D398" s="240"/>
      <c r="E398" s="14" t="s">
        <v>1833</v>
      </c>
      <c r="F398" s="154" t="str">
        <f>IF(wskakunin_sekkei7_KENTIKUSI_NO="","",wskakunin_sekkei7_KENTIKUSI_NO)</f>
        <v/>
      </c>
      <c r="H398" s="17"/>
    </row>
    <row r="399" spans="1:8" ht="15" customHeight="1">
      <c r="A399" s="44"/>
      <c r="B399" s="78" t="s">
        <v>11</v>
      </c>
      <c r="C399" s="14" t="s">
        <v>1834</v>
      </c>
      <c r="D399" s="154"/>
      <c r="E399" s="14" t="s">
        <v>1835</v>
      </c>
      <c r="F399" s="154" t="str">
        <f>IF(wskakunin_sekkei7_NAME="", "", wskakunin_sekkei7_NAME)</f>
        <v/>
      </c>
      <c r="H399" s="17"/>
    </row>
    <row r="400" spans="1:8" ht="15" customHeight="1">
      <c r="A400" s="44"/>
      <c r="B400" s="78" t="s">
        <v>629</v>
      </c>
      <c r="C400" s="14" t="s">
        <v>1836</v>
      </c>
      <c r="D400" s="154"/>
      <c r="E400" s="14" t="s">
        <v>1837</v>
      </c>
      <c r="F400" s="154" t="str">
        <f>IF(wskakunin_sekkei7_JIMU__sikaku="", "", wskakunin_sekkei7_JIMU__sikaku)</f>
        <v/>
      </c>
      <c r="H400" s="17"/>
    </row>
    <row r="401" spans="1:8" ht="15" customHeight="1">
      <c r="A401" s="44"/>
      <c r="B401" s="78" t="s">
        <v>121</v>
      </c>
      <c r="C401" s="14" t="s">
        <v>1838</v>
      </c>
      <c r="D401" s="154"/>
      <c r="E401" s="14" t="s">
        <v>1839</v>
      </c>
      <c r="F401" s="154" t="str">
        <f>IF(wskakunin_sekkei7_JIMU_SIKAKU__label="","",wskakunin_sekkei7_JIMU_SIKAKU__label)</f>
        <v/>
      </c>
      <c r="H401" s="17"/>
    </row>
    <row r="402" spans="1:8" ht="15" customHeight="1">
      <c r="A402" s="44"/>
      <c r="B402" s="78" t="s">
        <v>630</v>
      </c>
      <c r="C402" s="14" t="s">
        <v>1840</v>
      </c>
      <c r="D402" s="154"/>
      <c r="E402" s="14" t="s">
        <v>1841</v>
      </c>
      <c r="F402" s="154" t="str">
        <f>IF(wskakunin_sekkei7_JIMU_TOUROKU_KIKAN__label="","",wskakunin_sekkei7_JIMU_TOUROKU_KIKAN__label)</f>
        <v/>
      </c>
      <c r="H402" s="17"/>
    </row>
    <row r="403" spans="1:8" ht="15" customHeight="1">
      <c r="A403" s="44"/>
      <c r="B403" s="78" t="s">
        <v>631</v>
      </c>
      <c r="C403" s="14" t="s">
        <v>1842</v>
      </c>
      <c r="D403" s="240"/>
      <c r="E403" s="14" t="s">
        <v>1843</v>
      </c>
      <c r="F403" s="154" t="str">
        <f>IF(wskakunin_sekkei7_JIMU_NO="","",wskakunin_sekkei7_JIMU_NO)</f>
        <v/>
      </c>
      <c r="H403" s="17"/>
    </row>
    <row r="404" spans="1:8" ht="15" customHeight="1">
      <c r="A404" s="60"/>
      <c r="B404" s="78" t="s">
        <v>122</v>
      </c>
      <c r="C404" s="14" t="s">
        <v>1844</v>
      </c>
      <c r="D404" s="154"/>
      <c r="E404" s="14" t="s">
        <v>1845</v>
      </c>
      <c r="F404" s="154" t="str">
        <f>IF(wskakunin_sekkei7_JIMU_NAME="", "", wskakunin_sekkei7_JIMU_NAME)</f>
        <v/>
      </c>
      <c r="H404" s="17"/>
    </row>
    <row r="405" spans="1:8" ht="15" customHeight="1">
      <c r="A405" s="44"/>
      <c r="B405" s="78" t="s">
        <v>647</v>
      </c>
      <c r="D405" s="34"/>
      <c r="E405" s="14" t="s">
        <v>1846</v>
      </c>
      <c r="F405" s="154" t="str">
        <f>wskakunin_sekkei7_JIMU_NAME&amp;" "&amp;wskakunin_sekkei7_NAME</f>
        <v/>
      </c>
      <c r="H405" s="17"/>
    </row>
    <row r="406" spans="1:8" ht="15" customHeight="1">
      <c r="A406" s="60"/>
      <c r="B406" s="78" t="s">
        <v>12</v>
      </c>
      <c r="C406" s="14" t="s">
        <v>1847</v>
      </c>
      <c r="D406" s="240"/>
      <c r="E406" s="14" t="s">
        <v>1848</v>
      </c>
      <c r="F406" s="154" t="str">
        <f>IF(wskakunin_sekkei7_ZIP="", "", wskakunin_sekkei7_ZIP)</f>
        <v/>
      </c>
      <c r="H406" s="17" t="s">
        <v>665</v>
      </c>
    </row>
    <row r="407" spans="1:8" ht="15" customHeight="1">
      <c r="A407" s="60"/>
      <c r="B407" s="78" t="s">
        <v>17</v>
      </c>
      <c r="C407" s="14" t="s">
        <v>1849</v>
      </c>
      <c r="D407" s="154"/>
      <c r="E407" s="14" t="s">
        <v>1850</v>
      </c>
      <c r="F407" s="154" t="str">
        <f>IF(wskakunin_sekkei7__address="", "", wskakunin_sekkei7__address)</f>
        <v/>
      </c>
      <c r="H407" s="17"/>
    </row>
    <row r="408" spans="1:8" ht="15" customHeight="1">
      <c r="A408" s="60"/>
      <c r="B408" s="78" t="s">
        <v>14</v>
      </c>
      <c r="C408" s="14" t="s">
        <v>1851</v>
      </c>
      <c r="D408" s="240"/>
      <c r="E408" s="14" t="s">
        <v>1852</v>
      </c>
      <c r="F408" s="154" t="str">
        <f>IF(wskakunin_sekkei7_TEL="", "", wskakunin_sekkei7_TEL)</f>
        <v/>
      </c>
      <c r="H408" s="17"/>
    </row>
    <row r="409" spans="1:8" ht="15" customHeight="1">
      <c r="A409" s="60"/>
      <c r="B409" s="78" t="s">
        <v>666</v>
      </c>
      <c r="C409" s="14" t="s">
        <v>1853</v>
      </c>
      <c r="D409" s="240"/>
      <c r="E409" s="14" t="s">
        <v>1854</v>
      </c>
      <c r="F409" s="154" t="str">
        <f>IF(wskakunin_sekkei7_DOC="","",wskakunin_sekkei7_DOC)</f>
        <v/>
      </c>
      <c r="H409" s="17"/>
    </row>
    <row r="410" spans="1:8" ht="15" customHeight="1">
      <c r="A410" s="60"/>
      <c r="B410" s="86"/>
      <c r="H410" s="17"/>
    </row>
    <row r="411" spans="1:8" ht="15" customHeight="1">
      <c r="A411" s="1" t="s">
        <v>1974</v>
      </c>
      <c r="B411" s="49"/>
      <c r="H411" s="17"/>
    </row>
    <row r="412" spans="1:8" ht="15" customHeight="1">
      <c r="A412" s="27"/>
      <c r="B412" s="78" t="s">
        <v>627</v>
      </c>
      <c r="C412" s="14" t="s">
        <v>1855</v>
      </c>
      <c r="D412" s="154"/>
      <c r="E412" s="14" t="s">
        <v>1856</v>
      </c>
      <c r="F412" s="154" t="str">
        <f>IF(wskakunin_sekkei8__sikaku="", "", wskakunin_sekkei8__sikaku)</f>
        <v/>
      </c>
      <c r="H412" s="17"/>
    </row>
    <row r="413" spans="1:8" ht="15" customHeight="1">
      <c r="A413" s="32"/>
      <c r="B413" s="78" t="s">
        <v>628</v>
      </c>
      <c r="C413" s="14" t="s">
        <v>1857</v>
      </c>
      <c r="D413" s="154"/>
      <c r="E413" s="14" t="s">
        <v>1858</v>
      </c>
      <c r="F413" s="154" t="str">
        <f>IF(wskakunin_sekkei8_SIKAKU__label="","",wskakunin_sekkei8_SIKAKU__label)</f>
        <v/>
      </c>
      <c r="H413" s="17"/>
    </row>
    <row r="414" spans="1:8" ht="15" customHeight="1">
      <c r="A414" s="32"/>
      <c r="B414" s="78" t="s">
        <v>623</v>
      </c>
      <c r="C414" s="14" t="s">
        <v>1859</v>
      </c>
      <c r="D414" s="154"/>
      <c r="E414" s="14" t="s">
        <v>1860</v>
      </c>
      <c r="F414" s="154" t="str">
        <f>IF(wskakunin_sekkei8_TOUROKU_KIKAN__label="","",wskakunin_sekkei8_TOUROKU_KIKAN__label)</f>
        <v/>
      </c>
      <c r="H414" s="17"/>
    </row>
    <row r="415" spans="1:8" ht="15" customHeight="1">
      <c r="A415" s="32"/>
      <c r="B415" s="78" t="s">
        <v>624</v>
      </c>
      <c r="C415" s="14" t="s">
        <v>1861</v>
      </c>
      <c r="D415" s="240"/>
      <c r="E415" s="14" t="s">
        <v>1862</v>
      </c>
      <c r="F415" s="154" t="str">
        <f>IF(wskakunin_sekkei8_KENTIKUSI_NO="","",wskakunin_sekkei8_KENTIKUSI_NO)</f>
        <v/>
      </c>
      <c r="H415" s="17"/>
    </row>
    <row r="416" spans="1:8" ht="15" customHeight="1">
      <c r="A416" s="44"/>
      <c r="B416" s="78" t="s">
        <v>11</v>
      </c>
      <c r="C416" s="14" t="s">
        <v>1863</v>
      </c>
      <c r="D416" s="154"/>
      <c r="E416" s="14" t="s">
        <v>1864</v>
      </c>
      <c r="F416" s="154" t="str">
        <f>IF(wskakunin_sekkei8_NAME="", "", wskakunin_sekkei8_NAME)</f>
        <v/>
      </c>
      <c r="H416" s="17"/>
    </row>
    <row r="417" spans="1:8" ht="15" customHeight="1">
      <c r="A417" s="44"/>
      <c r="B417" s="78" t="s">
        <v>629</v>
      </c>
      <c r="C417" s="14" t="s">
        <v>1865</v>
      </c>
      <c r="D417" s="154"/>
      <c r="E417" s="14" t="s">
        <v>1866</v>
      </c>
      <c r="F417" s="154" t="str">
        <f>IF(wskakunin_sekkei8_JIMU__sikaku="", "", wskakunin_sekkei8_JIMU__sikaku)</f>
        <v/>
      </c>
      <c r="H417" s="17"/>
    </row>
    <row r="418" spans="1:8" ht="15" customHeight="1">
      <c r="A418" s="44"/>
      <c r="B418" s="78" t="s">
        <v>121</v>
      </c>
      <c r="C418" s="14" t="s">
        <v>1867</v>
      </c>
      <c r="D418" s="154"/>
      <c r="E418" s="14" t="s">
        <v>1868</v>
      </c>
      <c r="F418" s="154" t="str">
        <f>IF(wskakunin_sekkei8_JIMU_SIKAKU__label="","",wskakunin_sekkei8_JIMU_SIKAKU__label)</f>
        <v/>
      </c>
      <c r="H418" s="17"/>
    </row>
    <row r="419" spans="1:8" ht="15" customHeight="1">
      <c r="A419" s="44"/>
      <c r="B419" s="78" t="s">
        <v>630</v>
      </c>
      <c r="C419" s="14" t="s">
        <v>1869</v>
      </c>
      <c r="D419" s="154"/>
      <c r="E419" s="14" t="s">
        <v>1870</v>
      </c>
      <c r="F419" s="154" t="str">
        <f>IF(wskakunin_sekkei8_JIMU_TOUROKU_KIKAN__label="","",wskakunin_sekkei8_JIMU_TOUROKU_KIKAN__label)</f>
        <v/>
      </c>
      <c r="H419" s="17"/>
    </row>
    <row r="420" spans="1:8" ht="15" customHeight="1">
      <c r="A420" s="44"/>
      <c r="B420" s="78" t="s">
        <v>631</v>
      </c>
      <c r="C420" s="14" t="s">
        <v>1871</v>
      </c>
      <c r="D420" s="240"/>
      <c r="E420" s="14" t="s">
        <v>1872</v>
      </c>
      <c r="F420" s="154" t="str">
        <f>IF(wskakunin_sekkei8_JIMU_NO="","",wskakunin_sekkei8_JIMU_NO)</f>
        <v/>
      </c>
      <c r="H420" s="17"/>
    </row>
    <row r="421" spans="1:8" ht="15" customHeight="1">
      <c r="A421" s="60"/>
      <c r="B421" s="78" t="s">
        <v>122</v>
      </c>
      <c r="C421" s="14" t="s">
        <v>1873</v>
      </c>
      <c r="D421" s="154"/>
      <c r="E421" s="14" t="s">
        <v>1874</v>
      </c>
      <c r="F421" s="154" t="str">
        <f>IF(wskakunin_sekkei8_JIMU_NAME="", "", wskakunin_sekkei8_JIMU_NAME)</f>
        <v/>
      </c>
      <c r="H421" s="17"/>
    </row>
    <row r="422" spans="1:8" ht="15" customHeight="1">
      <c r="A422" s="44"/>
      <c r="B422" s="78" t="s">
        <v>647</v>
      </c>
      <c r="D422" s="34"/>
      <c r="E422" s="14" t="s">
        <v>1875</v>
      </c>
      <c r="F422" s="154" t="str">
        <f>wskakunin_sekkei8_JIMU_NAME&amp;" "&amp;wskakunin_sekkei8_NAME</f>
        <v/>
      </c>
      <c r="H422" s="17"/>
    </row>
    <row r="423" spans="1:8" ht="15" customHeight="1">
      <c r="A423" s="60"/>
      <c r="B423" s="78" t="s">
        <v>12</v>
      </c>
      <c r="C423" s="14" t="s">
        <v>1876</v>
      </c>
      <c r="D423" s="240"/>
      <c r="E423" s="14" t="s">
        <v>1877</v>
      </c>
      <c r="F423" s="154" t="str">
        <f>IF(wskakunin_sekkei8_ZIP="", "", wskakunin_sekkei8_ZIP)</f>
        <v/>
      </c>
      <c r="H423" s="17" t="s">
        <v>665</v>
      </c>
    </row>
    <row r="424" spans="1:8" ht="15" customHeight="1">
      <c r="A424" s="60"/>
      <c r="B424" s="78" t="s">
        <v>17</v>
      </c>
      <c r="C424" s="14" t="s">
        <v>1878</v>
      </c>
      <c r="D424" s="154"/>
      <c r="E424" s="14" t="s">
        <v>1879</v>
      </c>
      <c r="F424" s="154" t="str">
        <f>IF(wskakunin_sekkei8__address="", "", wskakunin_sekkei8__address)</f>
        <v/>
      </c>
      <c r="H424" s="17"/>
    </row>
    <row r="425" spans="1:8" ht="15" customHeight="1">
      <c r="A425" s="60"/>
      <c r="B425" s="78" t="s">
        <v>14</v>
      </c>
      <c r="C425" s="14" t="s">
        <v>1880</v>
      </c>
      <c r="D425" s="240"/>
      <c r="E425" s="14" t="s">
        <v>1881</v>
      </c>
      <c r="F425" s="154" t="str">
        <f>IF(wskakunin_sekkei8_TEL="", "", wskakunin_sekkei8_TEL)</f>
        <v/>
      </c>
      <c r="H425" s="17"/>
    </row>
    <row r="426" spans="1:8" ht="15" customHeight="1">
      <c r="A426" s="60"/>
      <c r="B426" s="78" t="s">
        <v>666</v>
      </c>
      <c r="C426" s="14" t="s">
        <v>1882</v>
      </c>
      <c r="D426" s="240"/>
      <c r="E426" s="14" t="s">
        <v>1883</v>
      </c>
      <c r="F426" s="154" t="str">
        <f>IF(wskakunin_sekkei8_DOC="","",wskakunin_sekkei8_DOC)</f>
        <v/>
      </c>
      <c r="H426" s="17"/>
    </row>
    <row r="427" spans="1:8" ht="15" customHeight="1">
      <c r="A427" s="60"/>
      <c r="B427" s="86"/>
      <c r="H427" s="17"/>
    </row>
    <row r="428" spans="1:8" ht="15" customHeight="1">
      <c r="A428" s="1" t="s">
        <v>1975</v>
      </c>
      <c r="B428" s="49"/>
      <c r="H428" s="17"/>
    </row>
    <row r="429" spans="1:8" ht="15" customHeight="1">
      <c r="A429" s="27"/>
      <c r="B429" s="78" t="s">
        <v>627</v>
      </c>
      <c r="C429" s="14" t="s">
        <v>1884</v>
      </c>
      <c r="D429" s="154"/>
      <c r="E429" s="14" t="s">
        <v>1885</v>
      </c>
      <c r="F429" s="154" t="str">
        <f>IF(wskakunin_sekkei9__sikaku="", "", wskakunin_sekkei9__sikaku)</f>
        <v/>
      </c>
      <c r="H429" s="17"/>
    </row>
    <row r="430" spans="1:8" ht="15" customHeight="1">
      <c r="A430" s="32"/>
      <c r="B430" s="78" t="s">
        <v>628</v>
      </c>
      <c r="C430" s="14" t="s">
        <v>1886</v>
      </c>
      <c r="D430" s="154"/>
      <c r="E430" s="14" t="s">
        <v>1887</v>
      </c>
      <c r="F430" s="154" t="str">
        <f>IF(wskakunin_sekkei9_SIKAKU__label="","",wskakunin_sekkei9_SIKAKU__label)</f>
        <v/>
      </c>
      <c r="H430" s="17"/>
    </row>
    <row r="431" spans="1:8" ht="15" customHeight="1">
      <c r="A431" s="32"/>
      <c r="B431" s="78" t="s">
        <v>623</v>
      </c>
      <c r="C431" s="14" t="s">
        <v>1888</v>
      </c>
      <c r="D431" s="154"/>
      <c r="E431" s="14" t="s">
        <v>1889</v>
      </c>
      <c r="F431" s="154" t="str">
        <f>IF(wskakunin_sekkei9_TOUROKU_KIKAN__label="","",wskakunin_sekkei9_TOUROKU_KIKAN__label)</f>
        <v/>
      </c>
      <c r="H431" s="17"/>
    </row>
    <row r="432" spans="1:8" ht="15" customHeight="1">
      <c r="A432" s="32"/>
      <c r="B432" s="78" t="s">
        <v>624</v>
      </c>
      <c r="C432" s="14" t="s">
        <v>1890</v>
      </c>
      <c r="D432" s="240"/>
      <c r="E432" s="14" t="s">
        <v>1891</v>
      </c>
      <c r="F432" s="154" t="str">
        <f>IF(wskakunin_sekkei9_KENTIKUSI_NO="","",wskakunin_sekkei9_KENTIKUSI_NO)</f>
        <v/>
      </c>
      <c r="H432" s="17"/>
    </row>
    <row r="433" spans="1:8" ht="15" customHeight="1">
      <c r="A433" s="44"/>
      <c r="B433" s="78" t="s">
        <v>11</v>
      </c>
      <c r="C433" s="14" t="s">
        <v>1892</v>
      </c>
      <c r="D433" s="154"/>
      <c r="E433" s="14" t="s">
        <v>1893</v>
      </c>
      <c r="F433" s="154" t="str">
        <f>IF(wskakunin_sekkei9_NAME="", "", wskakunin_sekkei9_NAME)</f>
        <v/>
      </c>
      <c r="H433" s="17"/>
    </row>
    <row r="434" spans="1:8" ht="15" customHeight="1">
      <c r="A434" s="44"/>
      <c r="B434" s="78" t="s">
        <v>629</v>
      </c>
      <c r="C434" s="14" t="s">
        <v>1894</v>
      </c>
      <c r="D434" s="154"/>
      <c r="E434" s="14" t="s">
        <v>1895</v>
      </c>
      <c r="F434" s="154" t="str">
        <f>IF(wskakunin_sekkei9_JIMU__sikaku="", "", wskakunin_sekkei9_JIMU__sikaku)</f>
        <v/>
      </c>
      <c r="H434" s="17"/>
    </row>
    <row r="435" spans="1:8" ht="15" customHeight="1">
      <c r="A435" s="44"/>
      <c r="B435" s="78" t="s">
        <v>121</v>
      </c>
      <c r="C435" s="14" t="s">
        <v>1896</v>
      </c>
      <c r="D435" s="154"/>
      <c r="E435" s="14" t="s">
        <v>1897</v>
      </c>
      <c r="F435" s="154" t="str">
        <f>IF(wskakunin_sekkei9_JIMU_SIKAKU__label="","",wskakunin_sekkei9_JIMU_SIKAKU__label)</f>
        <v/>
      </c>
      <c r="H435" s="17"/>
    </row>
    <row r="436" spans="1:8" ht="15" customHeight="1">
      <c r="A436" s="44"/>
      <c r="B436" s="78" t="s">
        <v>630</v>
      </c>
      <c r="C436" s="14" t="s">
        <v>1898</v>
      </c>
      <c r="D436" s="154"/>
      <c r="E436" s="14" t="s">
        <v>1899</v>
      </c>
      <c r="F436" s="154" t="str">
        <f>IF(wskakunin_sekkei9_JIMU_TOUROKU_KIKAN__label="","",wskakunin_sekkei9_JIMU_TOUROKU_KIKAN__label)</f>
        <v/>
      </c>
      <c r="H436" s="17"/>
    </row>
    <row r="437" spans="1:8" ht="15" customHeight="1">
      <c r="A437" s="44"/>
      <c r="B437" s="78" t="s">
        <v>631</v>
      </c>
      <c r="C437" s="14" t="s">
        <v>1900</v>
      </c>
      <c r="D437" s="240"/>
      <c r="E437" s="14" t="s">
        <v>1901</v>
      </c>
      <c r="F437" s="154" t="str">
        <f>IF(wskakunin_sekkei9_JIMU_NO="","",wskakunin_sekkei9_JIMU_NO)</f>
        <v/>
      </c>
      <c r="H437" s="17"/>
    </row>
    <row r="438" spans="1:8" ht="15" customHeight="1">
      <c r="A438" s="60"/>
      <c r="B438" s="78" t="s">
        <v>122</v>
      </c>
      <c r="C438" s="14" t="s">
        <v>1902</v>
      </c>
      <c r="D438" s="154"/>
      <c r="E438" s="14" t="s">
        <v>1903</v>
      </c>
      <c r="F438" s="154" t="str">
        <f>IF(wskakunin_sekkei9_JIMU_NAME="", "", wskakunin_sekkei9_JIMU_NAME)</f>
        <v/>
      </c>
      <c r="H438" s="17"/>
    </row>
    <row r="439" spans="1:8" ht="15" customHeight="1">
      <c r="A439" s="44"/>
      <c r="B439" s="78" t="s">
        <v>647</v>
      </c>
      <c r="D439" s="34"/>
      <c r="E439" s="14" t="s">
        <v>1904</v>
      </c>
      <c r="F439" s="154" t="str">
        <f>wskakunin_sekkei9_JIMU_NAME&amp;" "&amp;wskakunin_sekkei9_NAME</f>
        <v/>
      </c>
      <c r="H439" s="17"/>
    </row>
    <row r="440" spans="1:8" ht="15" customHeight="1">
      <c r="A440" s="60"/>
      <c r="B440" s="78" t="s">
        <v>12</v>
      </c>
      <c r="C440" s="14" t="s">
        <v>1905</v>
      </c>
      <c r="D440" s="240"/>
      <c r="E440" s="14" t="s">
        <v>1906</v>
      </c>
      <c r="F440" s="154" t="str">
        <f>IF(wskakunin_sekkei9_ZIP="", "", wskakunin_sekkei9_ZIP)</f>
        <v/>
      </c>
      <c r="H440" s="17" t="s">
        <v>665</v>
      </c>
    </row>
    <row r="441" spans="1:8" ht="15" customHeight="1">
      <c r="A441" s="60"/>
      <c r="B441" s="78" t="s">
        <v>17</v>
      </c>
      <c r="C441" s="14" t="s">
        <v>1907</v>
      </c>
      <c r="D441" s="154"/>
      <c r="E441" s="14" t="s">
        <v>1908</v>
      </c>
      <c r="F441" s="154" t="str">
        <f>IF(wskakunin_sekkei9__address="", "", wskakunin_sekkei9__address)</f>
        <v/>
      </c>
      <c r="H441" s="17"/>
    </row>
    <row r="442" spans="1:8" ht="15" customHeight="1">
      <c r="A442" s="60"/>
      <c r="B442" s="78" t="s">
        <v>14</v>
      </c>
      <c r="C442" s="14" t="s">
        <v>1909</v>
      </c>
      <c r="D442" s="240"/>
      <c r="E442" s="14" t="s">
        <v>1910</v>
      </c>
      <c r="F442" s="154" t="str">
        <f>IF(wskakunin_sekkei9_TEL="", "", wskakunin_sekkei9_TEL)</f>
        <v/>
      </c>
      <c r="H442" s="17"/>
    </row>
    <row r="443" spans="1:8" ht="15" customHeight="1">
      <c r="A443" s="60"/>
      <c r="B443" s="78" t="s">
        <v>666</v>
      </c>
      <c r="C443" s="14" t="s">
        <v>1911</v>
      </c>
      <c r="D443" s="240"/>
      <c r="E443" s="14" t="s">
        <v>1912</v>
      </c>
      <c r="F443" s="154" t="str">
        <f>IF(wskakunin_sekkei9_DOC="","",wskakunin_sekkei9_DOC)</f>
        <v/>
      </c>
      <c r="H443" s="17"/>
    </row>
    <row r="444" spans="1:8" ht="15" customHeight="1">
      <c r="A444" s="60"/>
      <c r="B444" s="86"/>
      <c r="H444" s="17"/>
    </row>
    <row r="445" spans="1:8" ht="15" customHeight="1">
      <c r="A445" s="1" t="s">
        <v>1976</v>
      </c>
      <c r="B445" s="49"/>
      <c r="H445" s="17"/>
    </row>
    <row r="446" spans="1:8" ht="15" customHeight="1">
      <c r="A446" s="27"/>
      <c r="B446" s="78" t="s">
        <v>627</v>
      </c>
      <c r="C446" s="14" t="s">
        <v>1913</v>
      </c>
      <c r="D446" s="154"/>
      <c r="E446" s="14" t="s">
        <v>1914</v>
      </c>
      <c r="F446" s="154" t="str">
        <f>IF(wskakunin_sekkei10__sikaku="", "", wskakunin_sekkei10__sikaku)</f>
        <v/>
      </c>
      <c r="H446" s="17"/>
    </row>
    <row r="447" spans="1:8" ht="15" customHeight="1">
      <c r="A447" s="32"/>
      <c r="B447" s="78" t="s">
        <v>628</v>
      </c>
      <c r="C447" s="14" t="s">
        <v>1915</v>
      </c>
      <c r="D447" s="154"/>
      <c r="E447" s="14" t="s">
        <v>1916</v>
      </c>
      <c r="F447" s="154" t="str">
        <f>IF(wskakunin_sekkei10_SIKAKU__label="","",wskakunin_sekkei10_SIKAKU__label)</f>
        <v/>
      </c>
      <c r="H447" s="17"/>
    </row>
    <row r="448" spans="1:8" ht="15" customHeight="1">
      <c r="A448" s="32"/>
      <c r="B448" s="78" t="s">
        <v>623</v>
      </c>
      <c r="C448" s="14" t="s">
        <v>1917</v>
      </c>
      <c r="D448" s="154"/>
      <c r="E448" s="14" t="s">
        <v>1918</v>
      </c>
      <c r="F448" s="154" t="str">
        <f>IF(wskakunin_sekkei10_TOUROKU_KIKAN__label="","",wskakunin_sekkei10_TOUROKU_KIKAN__label)</f>
        <v/>
      </c>
      <c r="H448" s="17"/>
    </row>
    <row r="449" spans="1:8" ht="15" customHeight="1">
      <c r="A449" s="32"/>
      <c r="B449" s="78" t="s">
        <v>624</v>
      </c>
      <c r="C449" s="14" t="s">
        <v>1919</v>
      </c>
      <c r="D449" s="240"/>
      <c r="E449" s="14" t="s">
        <v>1920</v>
      </c>
      <c r="F449" s="154" t="str">
        <f>IF(wskakunin_sekkei10_KENTIKUSI_NO="","",wskakunin_sekkei10_KENTIKUSI_NO)</f>
        <v/>
      </c>
      <c r="H449" s="17"/>
    </row>
    <row r="450" spans="1:8" ht="15" customHeight="1">
      <c r="A450" s="44"/>
      <c r="B450" s="78" t="s">
        <v>11</v>
      </c>
      <c r="C450" s="14" t="s">
        <v>1921</v>
      </c>
      <c r="D450" s="154"/>
      <c r="E450" s="14" t="s">
        <v>1922</v>
      </c>
      <c r="F450" s="154" t="str">
        <f>IF(wskakunin_sekkei10_NAME="", "", wskakunin_sekkei10_NAME)</f>
        <v/>
      </c>
      <c r="H450" s="17"/>
    </row>
    <row r="451" spans="1:8" ht="15" customHeight="1">
      <c r="A451" s="44"/>
      <c r="B451" s="78" t="s">
        <v>629</v>
      </c>
      <c r="C451" s="14" t="s">
        <v>1923</v>
      </c>
      <c r="D451" s="154"/>
      <c r="E451" s="14" t="s">
        <v>1924</v>
      </c>
      <c r="F451" s="154" t="str">
        <f>IF(wskakunin_sekkei10_JIMU__sikaku="", "", wskakunin_sekkei10_JIMU__sikaku)</f>
        <v/>
      </c>
      <c r="H451" s="17"/>
    </row>
    <row r="452" spans="1:8" ht="15" customHeight="1">
      <c r="A452" s="44"/>
      <c r="B452" s="78" t="s">
        <v>121</v>
      </c>
      <c r="C452" s="14" t="s">
        <v>1925</v>
      </c>
      <c r="D452" s="154"/>
      <c r="E452" s="14" t="s">
        <v>1926</v>
      </c>
      <c r="F452" s="154" t="str">
        <f>IF(wskakunin_sekkei10_JIMU_SIKAKU__label="","",wskakunin_sekkei10_JIMU_SIKAKU__label)</f>
        <v/>
      </c>
      <c r="H452" s="17"/>
    </row>
    <row r="453" spans="1:8" ht="15" customHeight="1">
      <c r="A453" s="44"/>
      <c r="B453" s="78" t="s">
        <v>630</v>
      </c>
      <c r="C453" s="14" t="s">
        <v>1927</v>
      </c>
      <c r="D453" s="154"/>
      <c r="E453" s="14" t="s">
        <v>1928</v>
      </c>
      <c r="F453" s="154" t="str">
        <f>IF(wskakunin_sekkei10_JIMU_TOUROKU_KIKAN__label="","",wskakunin_sekkei10_JIMU_TOUROKU_KIKAN__label)</f>
        <v/>
      </c>
      <c r="H453" s="17"/>
    </row>
    <row r="454" spans="1:8" ht="15" customHeight="1">
      <c r="A454" s="44"/>
      <c r="B454" s="78" t="s">
        <v>631</v>
      </c>
      <c r="C454" s="14" t="s">
        <v>1929</v>
      </c>
      <c r="D454" s="240"/>
      <c r="E454" s="14" t="s">
        <v>1930</v>
      </c>
      <c r="F454" s="154" t="str">
        <f>IF(wskakunin_sekkei10_JIMU_NO="","",wskakunin_sekkei10_JIMU_NO)</f>
        <v/>
      </c>
      <c r="H454" s="17"/>
    </row>
    <row r="455" spans="1:8" ht="15" customHeight="1">
      <c r="A455" s="60"/>
      <c r="B455" s="78" t="s">
        <v>122</v>
      </c>
      <c r="C455" s="14" t="s">
        <v>1931</v>
      </c>
      <c r="D455" s="154"/>
      <c r="E455" s="14" t="s">
        <v>1932</v>
      </c>
      <c r="F455" s="154" t="str">
        <f>IF(wskakunin_sekkei10_JIMU_NAME="", "", wskakunin_sekkei10_JIMU_NAME)</f>
        <v/>
      </c>
      <c r="H455" s="17"/>
    </row>
    <row r="456" spans="1:8" ht="15" customHeight="1">
      <c r="A456" s="44"/>
      <c r="B456" s="78" t="s">
        <v>647</v>
      </c>
      <c r="D456" s="34"/>
      <c r="E456" s="14" t="s">
        <v>1933</v>
      </c>
      <c r="F456" s="154" t="str">
        <f>wskakunin_sekkei10_JIMU_NAME&amp;" "&amp;wskakunin_sekkei10_NAME</f>
        <v/>
      </c>
      <c r="H456" s="17"/>
    </row>
    <row r="457" spans="1:8" ht="15" customHeight="1">
      <c r="A457" s="60"/>
      <c r="B457" s="78" t="s">
        <v>12</v>
      </c>
      <c r="C457" s="14" t="s">
        <v>1934</v>
      </c>
      <c r="D457" s="240"/>
      <c r="E457" s="14" t="s">
        <v>1935</v>
      </c>
      <c r="F457" s="154" t="str">
        <f>IF(wskakunin_sekkei10_ZIP="", "", wskakunin_sekkei10_ZIP)</f>
        <v/>
      </c>
      <c r="H457" s="17" t="s">
        <v>665</v>
      </c>
    </row>
    <row r="458" spans="1:8" ht="15" customHeight="1">
      <c r="A458" s="60"/>
      <c r="B458" s="78" t="s">
        <v>17</v>
      </c>
      <c r="C458" s="14" t="s">
        <v>1936</v>
      </c>
      <c r="D458" s="154"/>
      <c r="E458" s="14" t="s">
        <v>1937</v>
      </c>
      <c r="F458" s="154" t="str">
        <f>IF(wskakunin_sekkei10__address="", "", wskakunin_sekkei10__address)</f>
        <v/>
      </c>
      <c r="H458" s="17"/>
    </row>
    <row r="459" spans="1:8" ht="15" customHeight="1">
      <c r="A459" s="60"/>
      <c r="B459" s="78" t="s">
        <v>14</v>
      </c>
      <c r="C459" s="14" t="s">
        <v>1938</v>
      </c>
      <c r="D459" s="240"/>
      <c r="E459" s="14" t="s">
        <v>1939</v>
      </c>
      <c r="F459" s="154" t="str">
        <f>IF(wskakunin_sekkei10_TEL="", "", wskakunin_sekkei10_TEL)</f>
        <v/>
      </c>
      <c r="H459" s="17"/>
    </row>
    <row r="460" spans="1:8" ht="15" customHeight="1">
      <c r="A460" s="60"/>
      <c r="B460" s="78" t="s">
        <v>666</v>
      </c>
      <c r="C460" s="14" t="s">
        <v>1940</v>
      </c>
      <c r="D460" s="240"/>
      <c r="E460" s="14" t="s">
        <v>1941</v>
      </c>
      <c r="F460" s="154" t="str">
        <f>IF(wskakunin_sekkei10_DOC="","",wskakunin_sekkei10_DOC)</f>
        <v/>
      </c>
      <c r="H460" s="17"/>
    </row>
    <row r="461" spans="1:8" ht="15" customHeight="1">
      <c r="A461" s="60"/>
      <c r="B461" s="86"/>
      <c r="H461" s="17"/>
    </row>
    <row r="462" spans="1:8" ht="15" customHeight="1">
      <c r="A462" s="1" t="s">
        <v>1971</v>
      </c>
      <c r="B462" s="49"/>
      <c r="H462" s="17"/>
    </row>
    <row r="463" spans="1:8" ht="15" customHeight="1">
      <c r="A463" s="27"/>
      <c r="B463" s="78" t="s">
        <v>627</v>
      </c>
      <c r="C463" s="14" t="s">
        <v>1942</v>
      </c>
      <c r="D463" s="154"/>
      <c r="E463" s="14" t="s">
        <v>1943</v>
      </c>
      <c r="F463" s="154" t="str">
        <f>IF(wskakunin_sekkei11__sikaku="", "", wskakunin_sekkei11__sikaku)</f>
        <v/>
      </c>
      <c r="H463" s="17"/>
    </row>
    <row r="464" spans="1:8" ht="15" customHeight="1">
      <c r="A464" s="32"/>
      <c r="B464" s="78" t="s">
        <v>628</v>
      </c>
      <c r="C464" s="14" t="s">
        <v>1944</v>
      </c>
      <c r="D464" s="154"/>
      <c r="E464" s="14" t="s">
        <v>1945</v>
      </c>
      <c r="F464" s="154" t="str">
        <f>IF(wskakunin_sekkei11_SIKAKU__label="","",wskakunin_sekkei11_SIKAKU__label)</f>
        <v/>
      </c>
      <c r="H464" s="17"/>
    </row>
    <row r="465" spans="1:8" ht="15" customHeight="1">
      <c r="A465" s="32"/>
      <c r="B465" s="78" t="s">
        <v>623</v>
      </c>
      <c r="C465" s="14" t="s">
        <v>1946</v>
      </c>
      <c r="D465" s="154"/>
      <c r="E465" s="14" t="s">
        <v>1947</v>
      </c>
      <c r="F465" s="154" t="str">
        <f>IF(wskakunin_sekkei11_TOUROKU_KIKAN__label="","",wskakunin_sekkei11_TOUROKU_KIKAN__label)</f>
        <v/>
      </c>
      <c r="H465" s="17"/>
    </row>
    <row r="466" spans="1:8" ht="15" customHeight="1">
      <c r="A466" s="32"/>
      <c r="B466" s="78" t="s">
        <v>624</v>
      </c>
      <c r="C466" s="14" t="s">
        <v>1948</v>
      </c>
      <c r="D466" s="240"/>
      <c r="E466" s="14" t="s">
        <v>1949</v>
      </c>
      <c r="F466" s="154" t="str">
        <f>IF(wskakunin_sekkei11_KENTIKUSI_NO="","",wskakunin_sekkei11_KENTIKUSI_NO)</f>
        <v/>
      </c>
      <c r="H466" s="17"/>
    </row>
    <row r="467" spans="1:8" ht="15" customHeight="1">
      <c r="A467" s="44"/>
      <c r="B467" s="78" t="s">
        <v>11</v>
      </c>
      <c r="C467" s="14" t="s">
        <v>1950</v>
      </c>
      <c r="D467" s="154"/>
      <c r="E467" s="14" t="s">
        <v>1951</v>
      </c>
      <c r="F467" s="154" t="str">
        <f>IF(wskakunin_sekkei11_NAME="", "", wskakunin_sekkei11_NAME)</f>
        <v/>
      </c>
      <c r="H467" s="17"/>
    </row>
    <row r="468" spans="1:8" ht="15" customHeight="1">
      <c r="A468" s="44"/>
      <c r="B468" s="78" t="s">
        <v>629</v>
      </c>
      <c r="C468" s="14" t="s">
        <v>1952</v>
      </c>
      <c r="D468" s="154"/>
      <c r="E468" s="14" t="s">
        <v>1953</v>
      </c>
      <c r="F468" s="154" t="str">
        <f>IF(wskakunin_sekkei11_JIMU__sikaku="", "", wskakunin_sekkei11_JIMU__sikaku)</f>
        <v/>
      </c>
      <c r="H468" s="17"/>
    </row>
    <row r="469" spans="1:8" ht="15" customHeight="1">
      <c r="A469" s="44"/>
      <c r="B469" s="78" t="s">
        <v>121</v>
      </c>
      <c r="C469" s="14" t="s">
        <v>1954</v>
      </c>
      <c r="D469" s="154"/>
      <c r="E469" s="14" t="s">
        <v>1955</v>
      </c>
      <c r="F469" s="154" t="str">
        <f>IF(wskakunin_sekkei11_JIMU_SIKAKU__label="","",wskakunin_sekkei11_JIMU_SIKAKU__label)</f>
        <v/>
      </c>
      <c r="H469" s="17"/>
    </row>
    <row r="470" spans="1:8" ht="15" customHeight="1">
      <c r="A470" s="44"/>
      <c r="B470" s="78" t="s">
        <v>630</v>
      </c>
      <c r="C470" s="14" t="s">
        <v>1956</v>
      </c>
      <c r="D470" s="154"/>
      <c r="E470" s="14" t="s">
        <v>1957</v>
      </c>
      <c r="F470" s="154" t="str">
        <f>IF(wskakunin_sekkei11_JIMU_TOUROKU_KIKAN__label="","",wskakunin_sekkei11_JIMU_TOUROKU_KIKAN__label)</f>
        <v/>
      </c>
      <c r="H470" s="17"/>
    </row>
    <row r="471" spans="1:8" ht="15" customHeight="1">
      <c r="A471" s="44"/>
      <c r="B471" s="78" t="s">
        <v>631</v>
      </c>
      <c r="C471" s="14" t="s">
        <v>1958</v>
      </c>
      <c r="D471" s="240"/>
      <c r="E471" s="14" t="s">
        <v>1959</v>
      </c>
      <c r="F471" s="154" t="str">
        <f>IF(wskakunin_sekkei11_JIMU_NO="","",wskakunin_sekkei11_JIMU_NO)</f>
        <v/>
      </c>
      <c r="H471" s="17"/>
    </row>
    <row r="472" spans="1:8" ht="15" customHeight="1">
      <c r="A472" s="60"/>
      <c r="B472" s="78" t="s">
        <v>122</v>
      </c>
      <c r="C472" s="14" t="s">
        <v>1960</v>
      </c>
      <c r="D472" s="154"/>
      <c r="E472" s="14" t="s">
        <v>1961</v>
      </c>
      <c r="F472" s="154" t="str">
        <f>IF(wskakunin_sekkei11_JIMU_NAME="", "", wskakunin_sekkei11_JIMU_NAME)</f>
        <v/>
      </c>
      <c r="H472" s="17"/>
    </row>
    <row r="473" spans="1:8" ht="15" customHeight="1">
      <c r="A473" s="44"/>
      <c r="B473" s="78" t="s">
        <v>647</v>
      </c>
      <c r="D473" s="34"/>
      <c r="E473" s="14" t="s">
        <v>1962</v>
      </c>
      <c r="F473" s="154" t="str">
        <f>wskakunin_sekkei11_JIMU_NAME&amp;" "&amp;wskakunin_sekkei11_NAME</f>
        <v/>
      </c>
      <c r="H473" s="17"/>
    </row>
    <row r="474" spans="1:8" ht="15" customHeight="1">
      <c r="A474" s="60"/>
      <c r="B474" s="78" t="s">
        <v>12</v>
      </c>
      <c r="C474" s="14" t="s">
        <v>1963</v>
      </c>
      <c r="D474" s="240"/>
      <c r="E474" s="14" t="s">
        <v>1964</v>
      </c>
      <c r="F474" s="154" t="str">
        <f>IF(wskakunin_sekkei11_ZIP="", "", wskakunin_sekkei11_ZIP)</f>
        <v/>
      </c>
      <c r="H474" s="17" t="s">
        <v>665</v>
      </c>
    </row>
    <row r="475" spans="1:8" ht="15" customHeight="1">
      <c r="A475" s="60"/>
      <c r="B475" s="78" t="s">
        <v>17</v>
      </c>
      <c r="C475" s="14" t="s">
        <v>1965</v>
      </c>
      <c r="D475" s="154"/>
      <c r="E475" s="14" t="s">
        <v>1966</v>
      </c>
      <c r="F475" s="154" t="str">
        <f>IF(wskakunin_sekkei11__address="", "", wskakunin_sekkei11__address)</f>
        <v/>
      </c>
      <c r="H475" s="17"/>
    </row>
    <row r="476" spans="1:8" ht="15" customHeight="1">
      <c r="A476" s="60"/>
      <c r="B476" s="78" t="s">
        <v>14</v>
      </c>
      <c r="C476" s="14" t="s">
        <v>1967</v>
      </c>
      <c r="D476" s="240"/>
      <c r="E476" s="14" t="s">
        <v>1968</v>
      </c>
      <c r="F476" s="154" t="str">
        <f>IF(wskakunin_sekkei11_TEL="", "", wskakunin_sekkei11_TEL)</f>
        <v/>
      </c>
      <c r="H476" s="17"/>
    </row>
    <row r="477" spans="1:8" ht="15" customHeight="1">
      <c r="A477" s="60"/>
      <c r="B477" s="78" t="s">
        <v>666</v>
      </c>
      <c r="C477" s="14" t="s">
        <v>1969</v>
      </c>
      <c r="D477" s="240"/>
      <c r="E477" s="14" t="s">
        <v>1970</v>
      </c>
      <c r="F477" s="154" t="str">
        <f>IF(wskakunin_sekkei11_DOC="","",wskakunin_sekkei11_DOC)</f>
        <v/>
      </c>
      <c r="H477" s="17"/>
    </row>
    <row r="478" spans="1:8" ht="15" customHeight="1">
      <c r="A478" s="60"/>
      <c r="B478" s="86"/>
      <c r="G478" s="17"/>
      <c r="H478" s="17"/>
    </row>
    <row r="479" spans="1:8" ht="15" customHeight="1">
      <c r="A479" s="1" t="s">
        <v>2298</v>
      </c>
      <c r="B479" s="49"/>
      <c r="H479" s="17"/>
    </row>
    <row r="480" spans="1:8" ht="15" customHeight="1">
      <c r="A480" s="27"/>
      <c r="B480" s="78" t="s">
        <v>627</v>
      </c>
      <c r="C480" s="14" t="s">
        <v>2269</v>
      </c>
      <c r="D480" s="154"/>
      <c r="E480" s="14" t="s">
        <v>2270</v>
      </c>
      <c r="F480" s="154" t="str">
        <f>IF(wskakunin_sekkei12__sikaku="", "", wskakunin_sekkei12__sikaku)</f>
        <v/>
      </c>
      <c r="H480" s="17"/>
    </row>
    <row r="481" spans="1:8" ht="15" customHeight="1">
      <c r="A481" s="32"/>
      <c r="B481" s="78" t="s">
        <v>628</v>
      </c>
      <c r="C481" s="14" t="s">
        <v>2271</v>
      </c>
      <c r="D481" s="154"/>
      <c r="E481" s="14" t="s">
        <v>2272</v>
      </c>
      <c r="F481" s="154" t="str">
        <f>IF(wskakunin_sekkei12_SIKAKU__label="","",wskakunin_sekkei12_SIKAKU__label)</f>
        <v/>
      </c>
      <c r="H481" s="17"/>
    </row>
    <row r="482" spans="1:8" ht="15" customHeight="1">
      <c r="A482" s="32"/>
      <c r="B482" s="78" t="s">
        <v>623</v>
      </c>
      <c r="C482" s="14" t="s">
        <v>2273</v>
      </c>
      <c r="D482" s="154"/>
      <c r="E482" s="14" t="s">
        <v>2274</v>
      </c>
      <c r="F482" s="154" t="str">
        <f>IF(wskakunin_sekkei12_TOUROKU_KIKAN__label="","",wskakunin_sekkei12_TOUROKU_KIKAN__label)</f>
        <v/>
      </c>
      <c r="H482" s="17"/>
    </row>
    <row r="483" spans="1:8" ht="15" customHeight="1">
      <c r="A483" s="32"/>
      <c r="B483" s="78" t="s">
        <v>624</v>
      </c>
      <c r="C483" s="14" t="s">
        <v>2275</v>
      </c>
      <c r="D483" s="240"/>
      <c r="E483" s="14" t="s">
        <v>2276</v>
      </c>
      <c r="F483" s="154" t="str">
        <f>IF(wskakunin_sekkei12_KENTIKUSI_NO="","",wskakunin_sekkei12_KENTIKUSI_NO)</f>
        <v/>
      </c>
      <c r="H483" s="17"/>
    </row>
    <row r="484" spans="1:8" ht="15" customHeight="1">
      <c r="A484" s="44"/>
      <c r="B484" s="78" t="s">
        <v>11</v>
      </c>
      <c r="C484" s="14" t="s">
        <v>2277</v>
      </c>
      <c r="D484" s="154"/>
      <c r="E484" s="14" t="s">
        <v>2278</v>
      </c>
      <c r="F484" s="154" t="str">
        <f>IF(wskakunin_sekkei12_NAME="", "", wskakunin_sekkei12_NAME)</f>
        <v/>
      </c>
      <c r="H484" s="17"/>
    </row>
    <row r="485" spans="1:8" ht="15" customHeight="1">
      <c r="A485" s="44"/>
      <c r="B485" s="78" t="s">
        <v>629</v>
      </c>
      <c r="C485" s="14" t="s">
        <v>2279</v>
      </c>
      <c r="D485" s="154"/>
      <c r="E485" s="14" t="s">
        <v>2280</v>
      </c>
      <c r="F485" s="154" t="str">
        <f>IF(wskakunin_sekkei12_JIMU__sikaku="", "", wskakunin_sekkei12_JIMU__sikaku)</f>
        <v/>
      </c>
      <c r="H485" s="17"/>
    </row>
    <row r="486" spans="1:8" ht="15" customHeight="1">
      <c r="A486" s="44"/>
      <c r="B486" s="78" t="s">
        <v>121</v>
      </c>
      <c r="C486" s="14" t="s">
        <v>2281</v>
      </c>
      <c r="D486" s="154"/>
      <c r="E486" s="14" t="s">
        <v>2282</v>
      </c>
      <c r="F486" s="154" t="str">
        <f>IF(wskakunin_sekkei12_JIMU_SIKAKU__label="","",wskakunin_sekkei12_JIMU_SIKAKU__label)</f>
        <v/>
      </c>
      <c r="H486" s="17"/>
    </row>
    <row r="487" spans="1:8" ht="15" customHeight="1">
      <c r="A487" s="44"/>
      <c r="B487" s="78" t="s">
        <v>630</v>
      </c>
      <c r="C487" s="14" t="s">
        <v>2283</v>
      </c>
      <c r="D487" s="154"/>
      <c r="E487" s="14" t="s">
        <v>2284</v>
      </c>
      <c r="F487" s="154" t="str">
        <f>IF(wskakunin_sekkei12_JIMU_TOUROKU_KIKAN__label="","",wskakunin_sekkei12_JIMU_TOUROKU_KIKAN__label)</f>
        <v/>
      </c>
      <c r="H487" s="17"/>
    </row>
    <row r="488" spans="1:8" ht="15" customHeight="1">
      <c r="A488" s="44"/>
      <c r="B488" s="78" t="s">
        <v>631</v>
      </c>
      <c r="C488" s="14" t="s">
        <v>2285</v>
      </c>
      <c r="D488" s="240"/>
      <c r="E488" s="14" t="s">
        <v>2286</v>
      </c>
      <c r="F488" s="154" t="str">
        <f>IF(wskakunin_sekkei12_JIMU_NO="","",wskakunin_sekkei12_JIMU_NO)</f>
        <v/>
      </c>
      <c r="H488" s="17"/>
    </row>
    <row r="489" spans="1:8" ht="15" customHeight="1">
      <c r="A489" s="60"/>
      <c r="B489" s="78" t="s">
        <v>122</v>
      </c>
      <c r="C489" s="14" t="s">
        <v>2287</v>
      </c>
      <c r="D489" s="154"/>
      <c r="E489" s="14" t="s">
        <v>2288</v>
      </c>
      <c r="F489" s="154" t="str">
        <f>IF(wskakunin_sekkei12_JIMU_NAME="", "", wskakunin_sekkei12_JIMU_NAME)</f>
        <v/>
      </c>
      <c r="H489" s="17"/>
    </row>
    <row r="490" spans="1:8" ht="15" customHeight="1">
      <c r="A490" s="44"/>
      <c r="B490" s="78" t="s">
        <v>647</v>
      </c>
      <c r="D490" s="34"/>
      <c r="E490" s="14" t="s">
        <v>2289</v>
      </c>
      <c r="F490" s="154" t="str">
        <f>wskakunin_sekkei12_JIMU_NAME&amp;" "&amp;wskakunin_sekkei12_NAME</f>
        <v/>
      </c>
      <c r="H490" s="17"/>
    </row>
    <row r="491" spans="1:8" ht="15" customHeight="1">
      <c r="A491" s="60"/>
      <c r="B491" s="78" t="s">
        <v>12</v>
      </c>
      <c r="C491" s="14" t="s">
        <v>2290</v>
      </c>
      <c r="D491" s="240"/>
      <c r="E491" s="14" t="s">
        <v>2291</v>
      </c>
      <c r="F491" s="154" t="str">
        <f>IF(wskakunin_sekkei12_ZIP="", "", wskakunin_sekkei12_ZIP)</f>
        <v/>
      </c>
      <c r="H491" s="17" t="s">
        <v>665</v>
      </c>
    </row>
    <row r="492" spans="1:8" ht="15" customHeight="1">
      <c r="A492" s="60"/>
      <c r="B492" s="78" t="s">
        <v>17</v>
      </c>
      <c r="C492" s="14" t="s">
        <v>2292</v>
      </c>
      <c r="D492" s="154"/>
      <c r="E492" s="14" t="s">
        <v>2293</v>
      </c>
      <c r="F492" s="154" t="str">
        <f>IF(wskakunin_sekkei12__address="", "", wskakunin_sekkei12__address)</f>
        <v/>
      </c>
      <c r="H492" s="17"/>
    </row>
    <row r="493" spans="1:8" ht="15" customHeight="1">
      <c r="A493" s="60"/>
      <c r="B493" s="78" t="s">
        <v>14</v>
      </c>
      <c r="C493" s="14" t="s">
        <v>2294</v>
      </c>
      <c r="D493" s="240"/>
      <c r="E493" s="14" t="s">
        <v>2295</v>
      </c>
      <c r="F493" s="154" t="str">
        <f>IF(wskakunin_sekkei12_TEL="", "", wskakunin_sekkei12_TEL)</f>
        <v/>
      </c>
      <c r="H493" s="17"/>
    </row>
    <row r="494" spans="1:8" ht="15" customHeight="1">
      <c r="A494" s="60"/>
      <c r="B494" s="78" t="s">
        <v>666</v>
      </c>
      <c r="C494" s="14" t="s">
        <v>2296</v>
      </c>
      <c r="D494" s="240"/>
      <c r="E494" s="14" t="s">
        <v>2297</v>
      </c>
      <c r="F494" s="154" t="str">
        <f>IF(wskakunin_sekkei12_DOC="","",wskakunin_sekkei12_DOC)</f>
        <v/>
      </c>
      <c r="H494" s="17"/>
    </row>
    <row r="495" spans="1:8" ht="15" customHeight="1">
      <c r="A495" s="60"/>
      <c r="B495" s="86"/>
      <c r="G495" s="17"/>
      <c r="H495" s="17"/>
    </row>
    <row r="496" spans="1:8" s="20" customFormat="1" ht="15" customHeight="1">
      <c r="A496" s="82" t="s">
        <v>826</v>
      </c>
      <c r="B496" s="102"/>
    </row>
    <row r="497" spans="1:6" s="20" customFormat="1" ht="15" customHeight="1">
      <c r="A497" s="42" t="s">
        <v>827</v>
      </c>
      <c r="B497" s="103"/>
    </row>
    <row r="498" spans="1:6" s="20" customFormat="1" ht="15" customHeight="1">
      <c r="A498" s="104"/>
      <c r="B498" s="75" t="s">
        <v>673</v>
      </c>
      <c r="C498" s="33" t="s">
        <v>828</v>
      </c>
      <c r="D498" s="249"/>
      <c r="E498" s="33" t="s">
        <v>829</v>
      </c>
      <c r="F498" s="251" t="str">
        <f>IF(wskakunin_20kouzou101_NAME="","",wskakunin_20kouzou101_NAME)</f>
        <v/>
      </c>
    </row>
    <row r="499" spans="1:6" s="20" customFormat="1" ht="15" customHeight="1">
      <c r="A499" s="104"/>
      <c r="B499" s="75" t="s">
        <v>671</v>
      </c>
      <c r="C499" s="33" t="s">
        <v>2570</v>
      </c>
      <c r="D499" s="249"/>
      <c r="E499" s="33" t="s">
        <v>2571</v>
      </c>
      <c r="F499" s="252" t="str">
        <f>IF(wskakunin_20kouzou101_KOUZOUSEKKEI_KOUFU_NO="","",wskakunin_20kouzou101_KOUZOUSEKKEI_KOUFU_NO)</f>
        <v/>
      </c>
    </row>
    <row r="500" spans="1:6" s="20" customFormat="1" ht="15" customHeight="1">
      <c r="A500" s="104"/>
      <c r="B500" s="75" t="s">
        <v>673</v>
      </c>
      <c r="C500" s="33" t="s">
        <v>2605</v>
      </c>
      <c r="D500" s="249"/>
      <c r="E500" s="33" t="s">
        <v>2606</v>
      </c>
      <c r="F500" s="252" t="str">
        <f>IF(wskakunin_20kouzou102_NAME="","",wskakunin_20kouzou102_NAME)</f>
        <v/>
      </c>
    </row>
    <row r="501" spans="1:6" s="20" customFormat="1" ht="15" customHeight="1">
      <c r="A501" s="104"/>
      <c r="B501" s="75" t="s">
        <v>671</v>
      </c>
      <c r="C501" s="33" t="s">
        <v>2607</v>
      </c>
      <c r="D501" s="249"/>
      <c r="E501" s="33" t="s">
        <v>2608</v>
      </c>
      <c r="F501" s="252" t="str">
        <f>IF(wskakunin_20kouzou102_KOUZOUSEKKEI_KOUFU_NO="","",wskakunin_20kouzou102_KOUZOUSEKKEI_KOUFU_NO)</f>
        <v/>
      </c>
    </row>
    <row r="502" spans="1:6" s="20" customFormat="1" ht="15" customHeight="1">
      <c r="A502" s="104"/>
      <c r="B502" s="75" t="s">
        <v>673</v>
      </c>
      <c r="C502" s="33" t="s">
        <v>2609</v>
      </c>
      <c r="D502" s="249"/>
      <c r="E502" s="33" t="s">
        <v>2610</v>
      </c>
      <c r="F502" s="252" t="str">
        <f>IF(wskakunin_20kouzou103_NAME="","",wskakunin_20kouzou103_NAME)</f>
        <v/>
      </c>
    </row>
    <row r="503" spans="1:6" s="20" customFormat="1" ht="15" customHeight="1">
      <c r="A503" s="104"/>
      <c r="B503" s="75" t="s">
        <v>671</v>
      </c>
      <c r="C503" s="33" t="s">
        <v>2611</v>
      </c>
      <c r="D503" s="249"/>
      <c r="E503" s="33" t="s">
        <v>2612</v>
      </c>
      <c r="F503" s="252" t="str">
        <f>IF(wskakunin_20kouzou103_KOUZOUSEKKEI_KOUFU_NO="","",wskakunin_20kouzou103_KOUZOUSEKKEI_KOUFU_NO)</f>
        <v/>
      </c>
    </row>
    <row r="504" spans="1:6" s="20" customFormat="1" ht="15" customHeight="1">
      <c r="A504" s="104"/>
      <c r="B504" s="75" t="s">
        <v>673</v>
      </c>
      <c r="C504" s="33" t="s">
        <v>2613</v>
      </c>
      <c r="D504" s="249"/>
      <c r="E504" s="33" t="s">
        <v>2614</v>
      </c>
      <c r="F504" s="252" t="str">
        <f>IF(wskakunin_20kouzou104_NAME="","",wskakunin_20kouzou104_NAME)</f>
        <v/>
      </c>
    </row>
    <row r="505" spans="1:6" s="20" customFormat="1" ht="15" customHeight="1">
      <c r="A505" s="104"/>
      <c r="B505" s="75" t="s">
        <v>671</v>
      </c>
      <c r="C505" s="33" t="s">
        <v>2615</v>
      </c>
      <c r="D505" s="249"/>
      <c r="E505" s="33" t="s">
        <v>2616</v>
      </c>
      <c r="F505" s="252" t="str">
        <f>IF(wskakunin_20kouzou104_KOUZOUSEKKEI_KOUFU_NO="","",wskakunin_20kouzou104_KOUZOUSEKKEI_KOUFU_NO)</f>
        <v/>
      </c>
    </row>
    <row r="506" spans="1:6" s="20" customFormat="1" ht="15" customHeight="1">
      <c r="A506" s="104"/>
      <c r="B506" s="75" t="s">
        <v>673</v>
      </c>
      <c r="C506" s="33" t="s">
        <v>2617</v>
      </c>
      <c r="D506" s="250"/>
      <c r="E506" s="33" t="s">
        <v>2618</v>
      </c>
      <c r="F506" s="252" t="str">
        <f>IF(wskakunin_20kouzou105_NAME="","",wskakunin_20kouzou105_NAME)</f>
        <v/>
      </c>
    </row>
    <row r="507" spans="1:6" s="20" customFormat="1" ht="15" customHeight="1">
      <c r="A507" s="104"/>
      <c r="B507" s="75" t="s">
        <v>671</v>
      </c>
      <c r="C507" s="33" t="s">
        <v>2619</v>
      </c>
      <c r="D507" s="249"/>
      <c r="E507" s="33" t="s">
        <v>2620</v>
      </c>
      <c r="F507" s="252" t="str">
        <f>IF(wskakunin_20kouzou105_KOUZOUSEKKEI_KOUFU_NO="","",wskakunin_20kouzou105_KOUZOUSEKKEI_KOUFU_NO)</f>
        <v/>
      </c>
    </row>
    <row r="508" spans="1:6" ht="15" customHeight="1">
      <c r="A508" s="50"/>
      <c r="B508" s="75"/>
    </row>
    <row r="509" spans="1:6" s="20" customFormat="1" ht="15" customHeight="1">
      <c r="A509" s="42" t="s">
        <v>830</v>
      </c>
      <c r="B509" s="103"/>
      <c r="C509" s="211"/>
      <c r="D509" s="212"/>
      <c r="E509" s="211"/>
      <c r="F509" s="211"/>
    </row>
    <row r="510" spans="1:6" s="20" customFormat="1" ht="15" customHeight="1">
      <c r="A510" s="104"/>
      <c r="B510" s="75" t="s">
        <v>673</v>
      </c>
      <c r="C510" s="33" t="s">
        <v>831</v>
      </c>
      <c r="D510" s="249"/>
      <c r="E510" s="33" t="s">
        <v>832</v>
      </c>
      <c r="F510" s="251" t="str">
        <f>IF(wskakunin_20kouzou301_NAME="","",wskakunin_20kouzou301_NAME)</f>
        <v/>
      </c>
    </row>
    <row r="511" spans="1:6" s="20" customFormat="1" ht="15" customHeight="1">
      <c r="A511" s="104"/>
      <c r="B511" s="75" t="s">
        <v>671</v>
      </c>
      <c r="C511" s="211" t="s">
        <v>2572</v>
      </c>
      <c r="D511" s="249"/>
      <c r="E511" s="211" t="s">
        <v>2573</v>
      </c>
      <c r="F511" s="251" t="str">
        <f>IF(wskakunin_20kouzou301_KOUZOUSEKKEI_KOUFU_NO="","",wskakunin_20kouzou301_KOUZOUSEKKEI_KOUFU_NO)</f>
        <v/>
      </c>
    </row>
    <row r="512" spans="1:6" s="20" customFormat="1" ht="15" customHeight="1">
      <c r="A512" s="104"/>
      <c r="B512" s="75" t="s">
        <v>673</v>
      </c>
      <c r="C512" s="211" t="s">
        <v>2621</v>
      </c>
      <c r="D512" s="249"/>
      <c r="E512" s="211" t="s">
        <v>2622</v>
      </c>
      <c r="F512" s="251" t="str">
        <f>IF(wskakunin_20kouzou302_NAME="","",wskakunin_20kouzou302_NAME)</f>
        <v/>
      </c>
    </row>
    <row r="513" spans="1:6" s="20" customFormat="1" ht="15" customHeight="1">
      <c r="A513" s="104"/>
      <c r="B513" s="75" t="s">
        <v>671</v>
      </c>
      <c r="C513" s="211" t="s">
        <v>2623</v>
      </c>
      <c r="D513" s="249"/>
      <c r="E513" s="211" t="s">
        <v>2624</v>
      </c>
      <c r="F513" s="251" t="str">
        <f>IF(wskakunin_20kouzou302_KOUZOUSEKKEI_KOUFU_NO="","",wskakunin_20kouzou302_KOUZOUSEKKEI_KOUFU_NO)</f>
        <v/>
      </c>
    </row>
    <row r="514" spans="1:6" s="20" customFormat="1" ht="15" customHeight="1">
      <c r="A514" s="104"/>
      <c r="B514" s="75" t="s">
        <v>673</v>
      </c>
      <c r="C514" s="211" t="s">
        <v>2625</v>
      </c>
      <c r="D514" s="249"/>
      <c r="E514" s="211" t="s">
        <v>2626</v>
      </c>
      <c r="F514" s="251" t="str">
        <f>IF(wskakunin_20kouzou303_NAME="","",wskakunin_20kouzou303_NAME)</f>
        <v/>
      </c>
    </row>
    <row r="515" spans="1:6" s="20" customFormat="1" ht="15" customHeight="1">
      <c r="A515" s="104"/>
      <c r="B515" s="75" t="s">
        <v>671</v>
      </c>
      <c r="C515" s="211" t="s">
        <v>2627</v>
      </c>
      <c r="D515" s="249"/>
      <c r="E515" s="211" t="s">
        <v>2628</v>
      </c>
      <c r="F515" s="251" t="str">
        <f>IF(wskakunin_20kouzou303_KOUZOUSEKKEI_KOUFU_NO="","",wskakunin_20kouzou303_KOUZOUSEKKEI_KOUFU_NO)</f>
        <v/>
      </c>
    </row>
    <row r="516" spans="1:6" s="20" customFormat="1" ht="15" customHeight="1">
      <c r="A516" s="104"/>
      <c r="B516" s="75" t="s">
        <v>673</v>
      </c>
      <c r="C516" s="211" t="s">
        <v>2629</v>
      </c>
      <c r="D516" s="249"/>
      <c r="E516" s="211" t="s">
        <v>2630</v>
      </c>
      <c r="F516" s="251" t="str">
        <f>IF(wskakunin_20kouzou304_NAME="","",wskakunin_20kouzou304_NAME)</f>
        <v/>
      </c>
    </row>
    <row r="517" spans="1:6" s="20" customFormat="1" ht="15" customHeight="1">
      <c r="A517" s="104"/>
      <c r="B517" s="75" t="s">
        <v>671</v>
      </c>
      <c r="C517" s="211" t="s">
        <v>2631</v>
      </c>
      <c r="D517" s="249"/>
      <c r="E517" s="211" t="s">
        <v>2632</v>
      </c>
      <c r="F517" s="251" t="str">
        <f>IF(wskakunin_20kouzou304_KOUZOUSEKKEI_KOUFU_NO="","",wskakunin_20kouzou304_KOUZOUSEKKEI_KOUFU_NO)</f>
        <v/>
      </c>
    </row>
    <row r="518" spans="1:6" s="20" customFormat="1" ht="15" customHeight="1">
      <c r="A518" s="104"/>
      <c r="B518" s="75" t="s">
        <v>673</v>
      </c>
      <c r="C518" s="211" t="s">
        <v>2633</v>
      </c>
      <c r="D518" s="249"/>
      <c r="E518" s="211" t="s">
        <v>2634</v>
      </c>
      <c r="F518" s="251" t="str">
        <f>IF(wskakunin_20kouzou305_NAME="","",wskakunin_20kouzou305_NAME)</f>
        <v/>
      </c>
    </row>
    <row r="519" spans="1:6" s="20" customFormat="1" ht="15" customHeight="1">
      <c r="A519" s="104"/>
      <c r="B519" s="75" t="s">
        <v>671</v>
      </c>
      <c r="C519" s="211" t="s">
        <v>2635</v>
      </c>
      <c r="D519" s="249"/>
      <c r="E519" s="211" t="s">
        <v>2636</v>
      </c>
      <c r="F519" s="251" t="str">
        <f>IF(wskakunin_20kouzou305_KOUZOUSEKKEI_KOUFU_NO="","",wskakunin_20kouzou305_KOUZOUSEKKEI_KOUFU_NO)</f>
        <v/>
      </c>
    </row>
    <row r="520" spans="1:6" ht="15" customHeight="1">
      <c r="A520" s="50"/>
      <c r="B520" s="75"/>
    </row>
    <row r="521" spans="1:6" s="20" customFormat="1" ht="15" customHeight="1">
      <c r="A521" s="42" t="s">
        <v>833</v>
      </c>
      <c r="B521" s="103"/>
      <c r="C521" s="211"/>
      <c r="D521" s="212"/>
      <c r="E521" s="211"/>
      <c r="F521" s="211"/>
    </row>
    <row r="522" spans="1:6" s="20" customFormat="1" ht="15" customHeight="1">
      <c r="A522" s="104"/>
      <c r="B522" s="75" t="s">
        <v>673</v>
      </c>
      <c r="C522" s="33" t="s">
        <v>834</v>
      </c>
      <c r="D522" s="249"/>
      <c r="E522" s="33" t="s">
        <v>835</v>
      </c>
      <c r="F522" s="252" t="str">
        <f>IF(wskakunin_20setubi101_NAME="","",wskakunin_20setubi101_NAME)</f>
        <v/>
      </c>
    </row>
    <row r="523" spans="1:6" s="20" customFormat="1" ht="15" customHeight="1">
      <c r="A523" s="104"/>
      <c r="B523" s="75" t="s">
        <v>836</v>
      </c>
      <c r="C523" s="33" t="s">
        <v>2574</v>
      </c>
      <c r="D523" s="249"/>
      <c r="E523" s="33" t="s">
        <v>2575</v>
      </c>
      <c r="F523" s="252" t="str">
        <f>IF(wskakunin_20setubi101_SETUBISEKKEI_KOUFU_NO="","",wskakunin_20setubi101_SETUBISEKKEI_KOUFU_NO)</f>
        <v/>
      </c>
    </row>
    <row r="524" spans="1:6" s="20" customFormat="1" ht="15" customHeight="1">
      <c r="A524" s="104"/>
      <c r="B524" s="75" t="s">
        <v>673</v>
      </c>
      <c r="C524" s="33" t="s">
        <v>837</v>
      </c>
      <c r="D524" s="249"/>
      <c r="E524" s="33" t="s">
        <v>838</v>
      </c>
      <c r="F524" s="252" t="str">
        <f>IF(wskakunin_20setubi102_NAME="","",wskakunin_20setubi102_NAME)</f>
        <v/>
      </c>
    </row>
    <row r="525" spans="1:6" s="20" customFormat="1" ht="15" customHeight="1">
      <c r="A525" s="104"/>
      <c r="B525" s="75" t="s">
        <v>836</v>
      </c>
      <c r="C525" s="33" t="s">
        <v>2576</v>
      </c>
      <c r="D525" s="249"/>
      <c r="E525" s="33" t="s">
        <v>2577</v>
      </c>
      <c r="F525" s="252" t="str">
        <f>IF(wskakunin_20setubi102_SETUBISEKKEI_KOUFU_NO="","",wskakunin_20setubi102_SETUBISEKKEI_KOUFU_NO)</f>
        <v/>
      </c>
    </row>
    <row r="526" spans="1:6" s="20" customFormat="1" ht="15" customHeight="1">
      <c r="A526" s="104"/>
      <c r="B526" s="75" t="s">
        <v>673</v>
      </c>
      <c r="C526" s="33" t="s">
        <v>839</v>
      </c>
      <c r="D526" s="249"/>
      <c r="E526" s="33" t="s">
        <v>840</v>
      </c>
      <c r="F526" s="252" t="str">
        <f>IF(wskakunin_20setubi103_NAME="","",wskakunin_20setubi103_NAME)</f>
        <v/>
      </c>
    </row>
    <row r="527" spans="1:6" s="20" customFormat="1" ht="15" customHeight="1">
      <c r="A527" s="104"/>
      <c r="B527" s="75" t="s">
        <v>836</v>
      </c>
      <c r="C527" s="33" t="s">
        <v>2578</v>
      </c>
      <c r="D527" s="249"/>
      <c r="E527" s="33" t="s">
        <v>2579</v>
      </c>
      <c r="F527" s="252" t="str">
        <f>IF(wskakunin_20setubi103_SETUBISEKKEI_KOUFU_NO="","",wskakunin_20setubi103_SETUBISEKKEI_KOUFU_NO)</f>
        <v/>
      </c>
    </row>
    <row r="528" spans="1:6" s="20" customFormat="1" ht="15" customHeight="1">
      <c r="A528" s="104"/>
      <c r="B528" s="75" t="s">
        <v>673</v>
      </c>
      <c r="C528" s="33" t="s">
        <v>2637</v>
      </c>
      <c r="D528" s="249"/>
      <c r="E528" s="33" t="s">
        <v>2638</v>
      </c>
      <c r="F528" s="252" t="str">
        <f>IF(wskakunin_20setubi104_NAME="","",wskakunin_20setubi104_NAME)</f>
        <v/>
      </c>
    </row>
    <row r="529" spans="1:6" s="20" customFormat="1" ht="15" customHeight="1">
      <c r="A529" s="104"/>
      <c r="B529" s="75" t="s">
        <v>836</v>
      </c>
      <c r="C529" s="33" t="s">
        <v>2639</v>
      </c>
      <c r="D529" s="249"/>
      <c r="E529" s="33" t="s">
        <v>2640</v>
      </c>
      <c r="F529" s="252" t="str">
        <f>IF(wskakunin_20setubi104_SETUBISEKKEI_KOUFU_NO="","",wskakunin_20setubi104_SETUBISEKKEI_KOUFU_NO)</f>
        <v/>
      </c>
    </row>
    <row r="530" spans="1:6" s="20" customFormat="1" ht="15" customHeight="1">
      <c r="A530" s="104"/>
      <c r="B530" s="75" t="s">
        <v>673</v>
      </c>
      <c r="C530" s="33" t="s">
        <v>2641</v>
      </c>
      <c r="D530" s="249"/>
      <c r="E530" s="33" t="s">
        <v>2642</v>
      </c>
      <c r="F530" s="252" t="str">
        <f>IF(wskakunin_20setubi105_NAME="","",wskakunin_20setubi105_NAME)</f>
        <v/>
      </c>
    </row>
    <row r="531" spans="1:6" s="20" customFormat="1" ht="15" customHeight="1">
      <c r="A531" s="104"/>
      <c r="B531" s="75" t="s">
        <v>836</v>
      </c>
      <c r="C531" s="33" t="s">
        <v>2643</v>
      </c>
      <c r="D531" s="249"/>
      <c r="E531" s="33" t="s">
        <v>2644</v>
      </c>
      <c r="F531" s="252" t="str">
        <f>IF(wskakunin_20setubi105_SETUBISEKKEI_KOUFU_NO="","",wskakunin_20setubi105_SETUBISEKKEI_KOUFU_NO)</f>
        <v/>
      </c>
    </row>
    <row r="532" spans="1:6" ht="15" customHeight="1">
      <c r="A532" s="50"/>
      <c r="B532" s="75"/>
    </row>
    <row r="533" spans="1:6" s="20" customFormat="1" ht="15" customHeight="1">
      <c r="A533" s="42" t="s">
        <v>841</v>
      </c>
      <c r="B533" s="103"/>
      <c r="C533" s="211"/>
      <c r="D533" s="212"/>
      <c r="E533" s="211"/>
      <c r="F533" s="211"/>
    </row>
    <row r="534" spans="1:6" s="20" customFormat="1" ht="15" customHeight="1">
      <c r="A534" s="104"/>
      <c r="B534" s="75" t="s">
        <v>673</v>
      </c>
      <c r="C534" s="33" t="s">
        <v>842</v>
      </c>
      <c r="D534" s="249"/>
      <c r="E534" s="33" t="s">
        <v>843</v>
      </c>
      <c r="F534" s="252" t="str">
        <f>IF(wskakunin_20setubi301_NAME="","",wskakunin_20setubi301_NAME)</f>
        <v/>
      </c>
    </row>
    <row r="535" spans="1:6" s="20" customFormat="1" ht="15" customHeight="1">
      <c r="A535" s="104"/>
      <c r="B535" s="75" t="s">
        <v>836</v>
      </c>
      <c r="C535" s="33" t="s">
        <v>2580</v>
      </c>
      <c r="D535" s="249"/>
      <c r="E535" s="33" t="s">
        <v>2581</v>
      </c>
      <c r="F535" s="252" t="str">
        <f>IF(wskakunin_20setubi301_SETUBISEKKEI_KOUFU_NO="","",wskakunin_20setubi301_SETUBISEKKEI_KOUFU_NO)</f>
        <v/>
      </c>
    </row>
    <row r="536" spans="1:6" s="20" customFormat="1" ht="15" customHeight="1">
      <c r="A536" s="104"/>
      <c r="B536" s="75" t="s">
        <v>673</v>
      </c>
      <c r="C536" s="33" t="s">
        <v>844</v>
      </c>
      <c r="D536" s="249"/>
      <c r="E536" s="33" t="s">
        <v>845</v>
      </c>
      <c r="F536" s="252" t="str">
        <f>IF(wskakunin_20setubi302_NAME="","",wskakunin_20setubi302_NAME)</f>
        <v/>
      </c>
    </row>
    <row r="537" spans="1:6" s="20" customFormat="1" ht="15" customHeight="1">
      <c r="A537" s="104"/>
      <c r="B537" s="75" t="s">
        <v>836</v>
      </c>
      <c r="C537" s="33" t="s">
        <v>2582</v>
      </c>
      <c r="D537" s="249"/>
      <c r="E537" s="33" t="s">
        <v>2583</v>
      </c>
      <c r="F537" s="252" t="str">
        <f>IF(wskakunin_20setubi302_SETUBISEKKEI_KOUFU_NO="","",wskakunin_20setubi302_SETUBISEKKEI_KOUFU_NO)</f>
        <v/>
      </c>
    </row>
    <row r="538" spans="1:6" s="20" customFormat="1" ht="15" customHeight="1">
      <c r="A538" s="104"/>
      <c r="B538" s="75" t="s">
        <v>673</v>
      </c>
      <c r="C538" s="33" t="s">
        <v>846</v>
      </c>
      <c r="D538" s="249"/>
      <c r="E538" s="33" t="s">
        <v>847</v>
      </c>
      <c r="F538" s="252" t="str">
        <f>IF(wskakunin_20setubi303_NAME="","",wskakunin_20setubi303_NAME)</f>
        <v/>
      </c>
    </row>
    <row r="539" spans="1:6" s="20" customFormat="1" ht="15" customHeight="1">
      <c r="A539" s="104"/>
      <c r="B539" s="75" t="s">
        <v>836</v>
      </c>
      <c r="C539" s="33" t="s">
        <v>2584</v>
      </c>
      <c r="D539" s="249"/>
      <c r="E539" s="33" t="s">
        <v>2585</v>
      </c>
      <c r="F539" s="252" t="str">
        <f>IF(wskakunin_20setubi303_SETUBISEKKEI_KOUFU_NO="","",wskakunin_20setubi303_SETUBISEKKEI_KOUFU_NO)</f>
        <v/>
      </c>
    </row>
    <row r="540" spans="1:6" s="20" customFormat="1" ht="15" customHeight="1">
      <c r="A540" s="104"/>
      <c r="B540" s="75" t="s">
        <v>673</v>
      </c>
      <c r="C540" s="33" t="s">
        <v>2645</v>
      </c>
      <c r="D540" s="249"/>
      <c r="E540" s="33" t="s">
        <v>2646</v>
      </c>
      <c r="F540" s="252" t="str">
        <f>IF(wskakunin_20setubi304_NAME="","",wskakunin_20setubi304_NAME)</f>
        <v/>
      </c>
    </row>
    <row r="541" spans="1:6" s="20" customFormat="1" ht="15" customHeight="1">
      <c r="A541" s="104"/>
      <c r="B541" s="75" t="s">
        <v>836</v>
      </c>
      <c r="C541" s="33" t="s">
        <v>2647</v>
      </c>
      <c r="D541" s="249"/>
      <c r="E541" s="33" t="s">
        <v>2648</v>
      </c>
      <c r="F541" s="252" t="str">
        <f>IF(wskakunin_20setubi304_SETUBISEKKEI_KOUFU_NO="","",wskakunin_20setubi304_SETUBISEKKEI_KOUFU_NO)</f>
        <v/>
      </c>
    </row>
    <row r="542" spans="1:6" s="20" customFormat="1" ht="15" customHeight="1">
      <c r="A542" s="104"/>
      <c r="B542" s="75" t="s">
        <v>673</v>
      </c>
      <c r="C542" s="33" t="s">
        <v>2649</v>
      </c>
      <c r="D542" s="249"/>
      <c r="E542" s="33" t="s">
        <v>2650</v>
      </c>
      <c r="F542" s="252" t="str">
        <f>IF(wskakunin_20setubi305_NAME="","",wskakunin_20setubi305_NAME)</f>
        <v/>
      </c>
    </row>
    <row r="543" spans="1:6" s="20" customFormat="1" ht="15" customHeight="1">
      <c r="A543" s="104"/>
      <c r="B543" s="75" t="s">
        <v>836</v>
      </c>
      <c r="C543" s="33" t="s">
        <v>2651</v>
      </c>
      <c r="D543" s="249"/>
      <c r="E543" s="33" t="s">
        <v>2652</v>
      </c>
      <c r="F543" s="252" t="str">
        <f>IF(wskakunin_20setubi305_SETUBISEKKEI_KOUFU_NO="","",wskakunin_20setubi305_SETUBISEKKEI_KOUFU_NO)</f>
        <v/>
      </c>
    </row>
    <row r="544" spans="1:6" ht="15" customHeight="1">
      <c r="A544" s="51"/>
      <c r="B544" s="76"/>
    </row>
    <row r="545" spans="1:22" s="17" customFormat="1" ht="15" customHeight="1">
      <c r="A545" s="37" t="s">
        <v>641</v>
      </c>
      <c r="B545" s="38"/>
      <c r="C545" s="34"/>
      <c r="D545" s="34"/>
      <c r="E545" s="34"/>
    </row>
    <row r="546" spans="1:22" s="17" customFormat="1" ht="15" customHeight="1">
      <c r="A546" s="40" t="s">
        <v>672</v>
      </c>
      <c r="B546" s="41"/>
      <c r="C546" s="34"/>
      <c r="D546" s="34"/>
      <c r="E546" s="34"/>
    </row>
    <row r="547" spans="1:22" s="35" customFormat="1" ht="15" customHeight="1">
      <c r="A547" s="39"/>
      <c r="B547" s="79" t="s">
        <v>673</v>
      </c>
      <c r="C547" s="14" t="s">
        <v>1416</v>
      </c>
      <c r="D547" s="240"/>
      <c r="E547" s="14" t="s">
        <v>1412</v>
      </c>
      <c r="F547" s="44" t="str">
        <f>IF(wskakunin_iken1_NAME="","",wskakunin_iken1_NAME)</f>
        <v/>
      </c>
      <c r="G547" s="17"/>
    </row>
    <row r="548" spans="1:22" s="35" customFormat="1" ht="15" customHeight="1">
      <c r="A548" s="39"/>
      <c r="B548" s="79" t="s">
        <v>674</v>
      </c>
      <c r="C548" s="14" t="s">
        <v>1417</v>
      </c>
      <c r="D548" s="241"/>
      <c r="E548" s="14" t="s">
        <v>1423</v>
      </c>
      <c r="F548" s="44" t="str">
        <f>IF(wskakunin_iken1_JIMU_NAME="","",wskakunin_iken1_JIMU_NAME)</f>
        <v/>
      </c>
      <c r="G548" s="17"/>
    </row>
    <row r="549" spans="1:22" s="35" customFormat="1" ht="15" customHeight="1">
      <c r="A549" s="39"/>
      <c r="B549" s="79" t="s">
        <v>640</v>
      </c>
      <c r="C549" s="14" t="s">
        <v>1418</v>
      </c>
      <c r="D549" s="241"/>
      <c r="E549" s="14" t="s">
        <v>1424</v>
      </c>
      <c r="F549" s="44" t="str">
        <f>IF(wskakunin_iken1_ZIP="","",wskakunin_iken1_ZIP)</f>
        <v/>
      </c>
      <c r="G549" s="17"/>
      <c r="I549" s="36"/>
      <c r="J549" s="36"/>
      <c r="K549" s="36"/>
      <c r="L549" s="36"/>
      <c r="M549" s="36"/>
      <c r="N549" s="36"/>
      <c r="O549" s="36"/>
      <c r="P549" s="36"/>
      <c r="Q549" s="36"/>
      <c r="R549" s="36"/>
      <c r="S549" s="36"/>
      <c r="T549" s="36"/>
      <c r="U549" s="36"/>
      <c r="V549" s="36"/>
    </row>
    <row r="550" spans="1:22" s="35" customFormat="1" ht="15" customHeight="1">
      <c r="A550" s="39"/>
      <c r="B550" s="79" t="s">
        <v>675</v>
      </c>
      <c r="C550" s="14" t="s">
        <v>1419</v>
      </c>
      <c r="D550" s="241"/>
      <c r="E550" s="14" t="s">
        <v>1413</v>
      </c>
      <c r="F550" s="44" t="str">
        <f>IF(wskakunin_iken1__address="","",wskakunin_iken1__address)</f>
        <v/>
      </c>
      <c r="G550" s="17"/>
      <c r="I550" s="36"/>
      <c r="J550" s="36"/>
      <c r="K550" s="36"/>
      <c r="L550" s="36"/>
      <c r="M550" s="36"/>
      <c r="N550" s="36"/>
      <c r="O550" s="36"/>
      <c r="P550" s="36"/>
      <c r="Q550" s="36"/>
      <c r="R550" s="36"/>
      <c r="S550" s="36"/>
      <c r="T550" s="36"/>
      <c r="U550" s="36"/>
      <c r="V550" s="36"/>
    </row>
    <row r="551" spans="1:22" s="35" customFormat="1" ht="15" customHeight="1">
      <c r="A551" s="39"/>
      <c r="B551" s="79" t="s">
        <v>642</v>
      </c>
      <c r="C551" s="14" t="s">
        <v>1420</v>
      </c>
      <c r="D551" s="241"/>
      <c r="E551" s="14" t="s">
        <v>1414</v>
      </c>
      <c r="F551" s="44" t="str">
        <f>IF(wskakunin_iken1_TEL="","",wskakunin_iken1_TEL)</f>
        <v/>
      </c>
      <c r="G551" s="17"/>
      <c r="I551" s="36"/>
      <c r="J551" s="36"/>
      <c r="K551" s="36"/>
      <c r="L551" s="36"/>
      <c r="M551" s="36"/>
      <c r="N551" s="36"/>
      <c r="O551" s="36"/>
      <c r="P551" s="36"/>
      <c r="Q551" s="36"/>
      <c r="R551" s="36"/>
      <c r="S551" s="36"/>
      <c r="T551" s="36"/>
      <c r="U551" s="36"/>
      <c r="V551" s="36"/>
    </row>
    <row r="552" spans="1:22" s="35" customFormat="1" ht="15" customHeight="1">
      <c r="A552" s="39"/>
      <c r="B552" s="79" t="s">
        <v>643</v>
      </c>
      <c r="C552" s="14" t="s">
        <v>1421</v>
      </c>
      <c r="D552" s="241"/>
      <c r="E552" s="14" t="s">
        <v>1425</v>
      </c>
      <c r="F552" s="44" t="str">
        <f>IF(wskakunin_iken1_IKEN_NO="","",wskakunin_iken1_IKEN_NO)</f>
        <v/>
      </c>
      <c r="G552" s="17"/>
    </row>
    <row r="553" spans="1:22" s="17" customFormat="1" ht="15" customHeight="1">
      <c r="A553" s="37"/>
      <c r="B553" s="80" t="s">
        <v>644</v>
      </c>
      <c r="C553" s="34" t="s">
        <v>1422</v>
      </c>
      <c r="D553" s="240"/>
      <c r="E553" s="34" t="s">
        <v>1415</v>
      </c>
      <c r="F553" s="154" t="str">
        <f>IF(wskakunin_iken1_DOC="","",wskakunin_iken1_DOC)</f>
        <v/>
      </c>
    </row>
    <row r="554" spans="1:22" s="17" customFormat="1" ht="15" customHeight="1">
      <c r="A554" s="37"/>
      <c r="B554" s="81"/>
      <c r="C554" s="34"/>
    </row>
    <row r="555" spans="1:22" s="17" customFormat="1" ht="15" customHeight="1">
      <c r="A555" s="40" t="s">
        <v>676</v>
      </c>
      <c r="B555" s="41"/>
      <c r="C555" s="34"/>
      <c r="D555" s="34"/>
    </row>
    <row r="556" spans="1:22" s="35" customFormat="1" ht="15" customHeight="1">
      <c r="A556" s="39"/>
      <c r="B556" s="79" t="s">
        <v>673</v>
      </c>
      <c r="C556" s="14" t="s">
        <v>1433</v>
      </c>
      <c r="D556" s="253"/>
      <c r="E556" s="14" t="s">
        <v>1426</v>
      </c>
      <c r="F556" s="44" t="str">
        <f>IF(wskakunin_iken2_NAME="","",wskakunin_iken2_NAME)</f>
        <v/>
      </c>
      <c r="G556" s="17"/>
    </row>
    <row r="557" spans="1:22" s="35" customFormat="1" ht="15" customHeight="1">
      <c r="A557" s="39"/>
      <c r="B557" s="79" t="s">
        <v>674</v>
      </c>
      <c r="C557" s="14" t="s">
        <v>1434</v>
      </c>
      <c r="D557" s="253"/>
      <c r="E557" s="14" t="s">
        <v>1430</v>
      </c>
      <c r="F557" s="44" t="str">
        <f>IF(wskakunin_iken2_JIMU_NAME="","",wskakunin_iken2_JIMU_NAME)</f>
        <v/>
      </c>
      <c r="G557" s="17"/>
    </row>
    <row r="558" spans="1:22" s="35" customFormat="1" ht="15" customHeight="1">
      <c r="A558" s="39"/>
      <c r="B558" s="79" t="s">
        <v>640</v>
      </c>
      <c r="C558" s="14" t="s">
        <v>1435</v>
      </c>
      <c r="D558" s="253"/>
      <c r="E558" s="14" t="s">
        <v>1431</v>
      </c>
      <c r="F558" s="44" t="str">
        <f>IF(wskakunin_iken2_ZIP="","",wskakunin_iken2_ZIP)</f>
        <v/>
      </c>
      <c r="G558" s="17"/>
      <c r="I558" s="36"/>
      <c r="J558" s="36"/>
      <c r="K558" s="36"/>
      <c r="L558" s="36"/>
      <c r="M558" s="36"/>
      <c r="N558" s="36"/>
      <c r="O558" s="36"/>
      <c r="P558" s="36"/>
      <c r="Q558" s="36"/>
      <c r="R558" s="36"/>
      <c r="S558" s="36"/>
      <c r="T558" s="36"/>
      <c r="U558" s="36"/>
      <c r="V558" s="36"/>
    </row>
    <row r="559" spans="1:22" s="35" customFormat="1" ht="15" customHeight="1">
      <c r="A559" s="39"/>
      <c r="B559" s="79" t="s">
        <v>675</v>
      </c>
      <c r="C559" s="14" t="s">
        <v>1436</v>
      </c>
      <c r="D559" s="253"/>
      <c r="E559" s="14" t="s">
        <v>1427</v>
      </c>
      <c r="F559" s="44" t="str">
        <f>IF(wskakunin_iken2__address="","",wskakunin_iken2__address)</f>
        <v/>
      </c>
      <c r="G559" s="17"/>
      <c r="I559" s="36"/>
      <c r="J559" s="36"/>
      <c r="K559" s="36"/>
      <c r="L559" s="36"/>
      <c r="M559" s="36"/>
      <c r="N559" s="36"/>
      <c r="O559" s="36"/>
      <c r="P559" s="36"/>
      <c r="Q559" s="36"/>
      <c r="R559" s="36"/>
      <c r="S559" s="36"/>
      <c r="T559" s="36"/>
      <c r="U559" s="36"/>
      <c r="V559" s="36"/>
    </row>
    <row r="560" spans="1:22" s="35" customFormat="1" ht="15" customHeight="1">
      <c r="A560" s="39"/>
      <c r="B560" s="79" t="s">
        <v>642</v>
      </c>
      <c r="C560" s="14" t="s">
        <v>1437</v>
      </c>
      <c r="D560" s="253"/>
      <c r="E560" s="14" t="s">
        <v>1428</v>
      </c>
      <c r="F560" s="44" t="str">
        <f>IF(wskakunin_iken2_TEL="","",wskakunin_iken2_TEL)</f>
        <v/>
      </c>
      <c r="G560" s="17"/>
      <c r="I560" s="36"/>
      <c r="J560" s="36"/>
      <c r="K560" s="36"/>
      <c r="L560" s="36"/>
      <c r="M560" s="36"/>
      <c r="N560" s="36"/>
      <c r="O560" s="36"/>
      <c r="P560" s="36"/>
      <c r="Q560" s="36"/>
      <c r="R560" s="36"/>
      <c r="S560" s="36"/>
      <c r="T560" s="36"/>
      <c r="U560" s="36"/>
      <c r="V560" s="36"/>
    </row>
    <row r="561" spans="1:22" s="35" customFormat="1" ht="15" customHeight="1">
      <c r="A561" s="39"/>
      <c r="B561" s="79" t="s">
        <v>643</v>
      </c>
      <c r="C561" s="14" t="s">
        <v>1438</v>
      </c>
      <c r="D561" s="253"/>
      <c r="E561" s="14" t="s">
        <v>1432</v>
      </c>
      <c r="F561" s="44" t="str">
        <f>IF(wskakunin_iken2_IKEN_NO="","",wskakunin_iken2_IKEN_NO)</f>
        <v/>
      </c>
      <c r="G561" s="17"/>
    </row>
    <row r="562" spans="1:22" s="17" customFormat="1" ht="15" customHeight="1">
      <c r="A562" s="37"/>
      <c r="B562" s="80" t="s">
        <v>644</v>
      </c>
      <c r="C562" s="34" t="s">
        <v>1439</v>
      </c>
      <c r="D562" s="240"/>
      <c r="E562" s="34" t="s">
        <v>1429</v>
      </c>
      <c r="F562" s="154" t="str">
        <f>IF(wskakunin_iken2_DOC="","",wskakunin_iken2_DOC)</f>
        <v/>
      </c>
    </row>
    <row r="563" spans="1:22" s="17" customFormat="1" ht="15" customHeight="1">
      <c r="A563" s="37"/>
      <c r="B563" s="81"/>
      <c r="C563" s="34"/>
      <c r="D563" s="34"/>
    </row>
    <row r="564" spans="1:22" s="17" customFormat="1" ht="15" customHeight="1">
      <c r="A564" s="40" t="s">
        <v>677</v>
      </c>
      <c r="B564" s="41"/>
      <c r="C564" s="34"/>
      <c r="D564" s="34"/>
    </row>
    <row r="565" spans="1:22" s="35" customFormat="1" ht="15" customHeight="1">
      <c r="A565" s="39"/>
      <c r="B565" s="79" t="s">
        <v>673</v>
      </c>
      <c r="C565" s="14" t="s">
        <v>1456</v>
      </c>
      <c r="D565" s="241"/>
      <c r="E565" s="14" t="s">
        <v>1442</v>
      </c>
      <c r="F565" s="44" t="str">
        <f>IF(wskakunin_iken3_NAME="","",wskakunin_iken3_NAME)</f>
        <v/>
      </c>
      <c r="G565" s="17"/>
    </row>
    <row r="566" spans="1:22" s="35" customFormat="1" ht="15" customHeight="1">
      <c r="A566" s="39"/>
      <c r="B566" s="79" t="s">
        <v>674</v>
      </c>
      <c r="C566" s="14" t="s">
        <v>1457</v>
      </c>
      <c r="D566" s="241"/>
      <c r="E566" s="14" t="s">
        <v>1443</v>
      </c>
      <c r="F566" s="44" t="str">
        <f>IF(wskakunin_iken3_JIMU_NAME="","",wskakunin_iken3_JIMU_NAME)</f>
        <v/>
      </c>
      <c r="G566" s="17"/>
    </row>
    <row r="567" spans="1:22" s="35" customFormat="1" ht="15" customHeight="1">
      <c r="A567" s="39"/>
      <c r="B567" s="79" t="s">
        <v>640</v>
      </c>
      <c r="C567" s="14" t="s">
        <v>1458</v>
      </c>
      <c r="D567" s="241"/>
      <c r="E567" s="14" t="s">
        <v>1444</v>
      </c>
      <c r="F567" s="44" t="str">
        <f>IF(wskakunin_iken3_ZIP="","",wskakunin_iken3_ZIP)</f>
        <v/>
      </c>
      <c r="G567" s="17"/>
      <c r="I567" s="36"/>
      <c r="J567" s="36"/>
      <c r="K567" s="36"/>
      <c r="L567" s="36"/>
      <c r="M567" s="36"/>
      <c r="N567" s="36"/>
      <c r="O567" s="36"/>
      <c r="P567" s="36"/>
      <c r="Q567" s="36"/>
      <c r="R567" s="36"/>
      <c r="S567" s="36"/>
      <c r="T567" s="36"/>
      <c r="U567" s="36"/>
      <c r="V567" s="36"/>
    </row>
    <row r="568" spans="1:22" s="35" customFormat="1" ht="15" customHeight="1">
      <c r="A568" s="39"/>
      <c r="B568" s="79" t="s">
        <v>675</v>
      </c>
      <c r="C568" s="14" t="s">
        <v>1459</v>
      </c>
      <c r="D568" s="241"/>
      <c r="E568" s="14" t="s">
        <v>1445</v>
      </c>
      <c r="F568" s="44" t="str">
        <f>IF(wskakunin_iken3__address="","",wskakunin_iken3__address)</f>
        <v/>
      </c>
      <c r="G568" s="17"/>
      <c r="I568" s="36"/>
      <c r="J568" s="36"/>
      <c r="K568" s="36"/>
      <c r="L568" s="36"/>
      <c r="M568" s="36"/>
      <c r="N568" s="36"/>
      <c r="O568" s="36"/>
      <c r="P568" s="36"/>
      <c r="Q568" s="36"/>
      <c r="R568" s="36"/>
      <c r="S568" s="36"/>
      <c r="T568" s="36"/>
      <c r="U568" s="36"/>
      <c r="V568" s="36"/>
    </row>
    <row r="569" spans="1:22" s="35" customFormat="1" ht="15" customHeight="1">
      <c r="A569" s="39"/>
      <c r="B569" s="79" t="s">
        <v>642</v>
      </c>
      <c r="C569" s="14" t="s">
        <v>1460</v>
      </c>
      <c r="D569" s="241"/>
      <c r="E569" s="14" t="s">
        <v>1446</v>
      </c>
      <c r="F569" s="44" t="str">
        <f>IF(wskakunin_iken3_TEL="","",wskakunin_iken3_TEL)</f>
        <v/>
      </c>
      <c r="G569" s="17"/>
      <c r="I569" s="36"/>
      <c r="J569" s="36"/>
      <c r="K569" s="36"/>
      <c r="L569" s="36"/>
      <c r="M569" s="36"/>
      <c r="N569" s="36"/>
      <c r="O569" s="36"/>
      <c r="P569" s="36"/>
      <c r="Q569" s="36"/>
      <c r="R569" s="36"/>
      <c r="S569" s="36"/>
      <c r="T569" s="36"/>
      <c r="U569" s="36"/>
      <c r="V569" s="36"/>
    </row>
    <row r="570" spans="1:22" s="35" customFormat="1" ht="15" customHeight="1">
      <c r="A570" s="39"/>
      <c r="B570" s="79" t="s">
        <v>643</v>
      </c>
      <c r="C570" s="14" t="s">
        <v>1461</v>
      </c>
      <c r="D570" s="241"/>
      <c r="E570" s="14" t="s">
        <v>1447</v>
      </c>
      <c r="F570" s="44" t="str">
        <f>IF(wskakunin_iken3_IKEN_NO="","",wskakunin_iken3_IKEN_NO)</f>
        <v/>
      </c>
      <c r="G570" s="17"/>
    </row>
    <row r="571" spans="1:22" s="17" customFormat="1" ht="15" customHeight="1">
      <c r="A571" s="37"/>
      <c r="B571" s="80" t="s">
        <v>644</v>
      </c>
      <c r="C571" s="34" t="s">
        <v>1462</v>
      </c>
      <c r="D571" s="240"/>
      <c r="E571" s="34" t="s">
        <v>1448</v>
      </c>
      <c r="F571" s="154" t="str">
        <f>IF(wskakunin_iken3_DOC="","",wskakunin_iken3_DOC)</f>
        <v/>
      </c>
    </row>
    <row r="572" spans="1:22" s="17" customFormat="1" ht="15" customHeight="1">
      <c r="A572" s="37"/>
      <c r="B572" s="81"/>
      <c r="C572" s="34"/>
      <c r="D572" s="34"/>
    </row>
    <row r="573" spans="1:22" s="17" customFormat="1" ht="15" customHeight="1">
      <c r="A573" s="40" t="s">
        <v>678</v>
      </c>
      <c r="B573" s="41"/>
      <c r="C573" s="34"/>
      <c r="D573" s="34"/>
    </row>
    <row r="574" spans="1:22" s="35" customFormat="1" ht="15" customHeight="1">
      <c r="A574" s="39"/>
      <c r="B574" s="79" t="s">
        <v>673</v>
      </c>
      <c r="C574" s="14" t="s">
        <v>1463</v>
      </c>
      <c r="D574" s="241"/>
      <c r="E574" s="14" t="s">
        <v>1449</v>
      </c>
      <c r="F574" s="44" t="str">
        <f>IF(wskakunin_iken4_NAME="","",wskakunin_iken4_NAME)</f>
        <v/>
      </c>
      <c r="G574" s="17"/>
    </row>
    <row r="575" spans="1:22" s="35" customFormat="1" ht="15" customHeight="1">
      <c r="A575" s="39"/>
      <c r="B575" s="79" t="s">
        <v>674</v>
      </c>
      <c r="C575" s="14" t="s">
        <v>1464</v>
      </c>
      <c r="D575" s="241"/>
      <c r="E575" s="14" t="s">
        <v>1450</v>
      </c>
      <c r="F575" s="44" t="str">
        <f>IF(wskakunin_iken4_JIMU_NAME="","",wskakunin_iken4_JIMU_NAME)</f>
        <v/>
      </c>
      <c r="G575" s="17"/>
    </row>
    <row r="576" spans="1:22" s="35" customFormat="1" ht="15" customHeight="1">
      <c r="A576" s="39"/>
      <c r="B576" s="79" t="s">
        <v>640</v>
      </c>
      <c r="C576" s="14" t="s">
        <v>1465</v>
      </c>
      <c r="D576" s="241"/>
      <c r="E576" s="14" t="s">
        <v>1451</v>
      </c>
      <c r="F576" s="44" t="str">
        <f>IF(wskakunin_iken4_ZIP="","",wskakunin_iken4_ZIP)</f>
        <v/>
      </c>
      <c r="G576" s="17"/>
      <c r="I576" s="36"/>
      <c r="J576" s="36"/>
      <c r="K576" s="36"/>
      <c r="L576" s="36"/>
      <c r="M576" s="36"/>
      <c r="N576" s="36"/>
      <c r="O576" s="36"/>
      <c r="P576" s="36"/>
      <c r="Q576" s="36"/>
      <c r="R576" s="36"/>
      <c r="S576" s="36"/>
      <c r="T576" s="36"/>
      <c r="U576" s="36"/>
      <c r="V576" s="36"/>
    </row>
    <row r="577" spans="1:22" s="35" customFormat="1" ht="15" customHeight="1">
      <c r="A577" s="39"/>
      <c r="B577" s="79" t="s">
        <v>675</v>
      </c>
      <c r="C577" s="14" t="s">
        <v>1466</v>
      </c>
      <c r="D577" s="241"/>
      <c r="E577" s="14" t="s">
        <v>1452</v>
      </c>
      <c r="F577" s="44" t="str">
        <f>IF(wskakunin_iken4__address="","",wskakunin_iken4__address)</f>
        <v/>
      </c>
      <c r="G577" s="17"/>
      <c r="I577" s="36"/>
      <c r="J577" s="36"/>
      <c r="K577" s="36"/>
      <c r="L577" s="36"/>
      <c r="M577" s="36"/>
      <c r="N577" s="36"/>
      <c r="O577" s="36"/>
      <c r="P577" s="36"/>
      <c r="Q577" s="36"/>
      <c r="R577" s="36"/>
      <c r="S577" s="36"/>
      <c r="T577" s="36"/>
      <c r="U577" s="36"/>
      <c r="V577" s="36"/>
    </row>
    <row r="578" spans="1:22" s="35" customFormat="1" ht="15" customHeight="1">
      <c r="A578" s="39"/>
      <c r="B578" s="79" t="s">
        <v>642</v>
      </c>
      <c r="C578" s="14" t="s">
        <v>1467</v>
      </c>
      <c r="D578" s="241"/>
      <c r="E578" s="14" t="s">
        <v>1453</v>
      </c>
      <c r="F578" s="44" t="str">
        <f>IF(wskakunin_iken4_TEL="","",wskakunin_iken4_TEL)</f>
        <v/>
      </c>
      <c r="G578" s="17"/>
      <c r="I578" s="36"/>
      <c r="J578" s="36"/>
      <c r="K578" s="36"/>
      <c r="L578" s="36"/>
      <c r="M578" s="36"/>
      <c r="N578" s="36"/>
      <c r="O578" s="36"/>
      <c r="P578" s="36"/>
      <c r="Q578" s="36"/>
      <c r="R578" s="36"/>
      <c r="S578" s="36"/>
      <c r="T578" s="36"/>
      <c r="U578" s="36"/>
      <c r="V578" s="36"/>
    </row>
    <row r="579" spans="1:22" s="35" customFormat="1" ht="15" customHeight="1">
      <c r="A579" s="39"/>
      <c r="B579" s="79" t="s">
        <v>643</v>
      </c>
      <c r="C579" s="14" t="s">
        <v>1468</v>
      </c>
      <c r="D579" s="241"/>
      <c r="E579" s="14" t="s">
        <v>1454</v>
      </c>
      <c r="F579" s="44" t="str">
        <f>IF(wskakunin_iken4_IKEN_NO="","",wskakunin_iken4_IKEN_NO)</f>
        <v/>
      </c>
      <c r="G579" s="17"/>
    </row>
    <row r="580" spans="1:22" s="17" customFormat="1" ht="15" customHeight="1">
      <c r="A580" s="37"/>
      <c r="B580" s="80" t="s">
        <v>644</v>
      </c>
      <c r="C580" s="34" t="s">
        <v>1469</v>
      </c>
      <c r="D580" s="240"/>
      <c r="E580" s="34" t="s">
        <v>1455</v>
      </c>
      <c r="F580" s="154" t="str">
        <f>IF(wskakunin_iken4_DOC="","",wskakunin_iken4_DOC)</f>
        <v/>
      </c>
    </row>
    <row r="581" spans="1:22" s="17" customFormat="1" ht="15" customHeight="1">
      <c r="A581" s="40" t="s">
        <v>2681</v>
      </c>
      <c r="B581" s="214"/>
      <c r="C581" s="33"/>
      <c r="D581" s="33"/>
      <c r="E581" s="33"/>
      <c r="F581" s="33"/>
    </row>
    <row r="582" spans="1:22" s="17" customFormat="1" ht="15" customHeight="1">
      <c r="A582" s="39"/>
      <c r="B582" s="79" t="s">
        <v>673</v>
      </c>
      <c r="C582" s="14" t="s">
        <v>2682</v>
      </c>
      <c r="D582" s="241"/>
      <c r="E582" s="33" t="s">
        <v>2683</v>
      </c>
      <c r="F582" s="154" t="str">
        <f>IF(wskakunin_iken5_NAME="","",wskakunin_iken5_NAME)</f>
        <v/>
      </c>
    </row>
    <row r="583" spans="1:22" s="17" customFormat="1" ht="15" customHeight="1">
      <c r="A583" s="39"/>
      <c r="B583" s="79" t="s">
        <v>674</v>
      </c>
      <c r="C583" s="14" t="s">
        <v>2684</v>
      </c>
      <c r="D583" s="241"/>
      <c r="E583" s="33" t="s">
        <v>2685</v>
      </c>
      <c r="F583" s="154" t="str">
        <f>IF(wskakunin_iken5_JIMU_NAME="","",wskakunin_iken5_JIMU_NAME)</f>
        <v/>
      </c>
    </row>
    <row r="584" spans="1:22" s="17" customFormat="1" ht="15" customHeight="1">
      <c r="A584" s="39"/>
      <c r="B584" s="79" t="s">
        <v>640</v>
      </c>
      <c r="C584" s="14" t="s">
        <v>2686</v>
      </c>
      <c r="D584" s="241"/>
      <c r="E584" s="33" t="s">
        <v>2687</v>
      </c>
      <c r="F584" s="154" t="str">
        <f>IF(wskakunin_iken5_ZIP="","",wskakunin_iken5_ZIP)</f>
        <v/>
      </c>
    </row>
    <row r="585" spans="1:22" s="17" customFormat="1" ht="15" customHeight="1">
      <c r="A585" s="39"/>
      <c r="B585" s="79" t="s">
        <v>675</v>
      </c>
      <c r="C585" s="14" t="s">
        <v>2688</v>
      </c>
      <c r="D585" s="241"/>
      <c r="E585" s="33" t="s">
        <v>2689</v>
      </c>
      <c r="F585" s="154" t="str">
        <f>IF(wskakunin_iken5__address="","",wskakunin_iken5__address)</f>
        <v/>
      </c>
    </row>
    <row r="586" spans="1:22" s="17" customFormat="1" ht="15" customHeight="1">
      <c r="A586" s="39"/>
      <c r="B586" s="79" t="s">
        <v>642</v>
      </c>
      <c r="C586" s="14" t="s">
        <v>2690</v>
      </c>
      <c r="D586" s="241"/>
      <c r="E586" s="33" t="s">
        <v>2691</v>
      </c>
      <c r="F586" s="154" t="str">
        <f>IF(wskakunin_iken5_TEL="","",wskakunin_iken5_TEL)</f>
        <v/>
      </c>
    </row>
    <row r="587" spans="1:22" s="17" customFormat="1" ht="15" customHeight="1">
      <c r="A587" s="39"/>
      <c r="B587" s="79" t="s">
        <v>643</v>
      </c>
      <c r="C587" s="14" t="s">
        <v>2692</v>
      </c>
      <c r="D587" s="241"/>
      <c r="E587" s="33" t="s">
        <v>2693</v>
      </c>
      <c r="F587" s="154" t="str">
        <f>IF(wskakunin_iken5_IKEN_NO="","",wskakunin_iken5_IKEN_NO)</f>
        <v/>
      </c>
    </row>
    <row r="588" spans="1:22" s="17" customFormat="1" ht="15" customHeight="1">
      <c r="A588" s="37"/>
      <c r="B588" s="80" t="s">
        <v>644</v>
      </c>
      <c r="C588" s="34" t="s">
        <v>2694</v>
      </c>
      <c r="D588" s="241"/>
      <c r="E588" s="33" t="s">
        <v>2695</v>
      </c>
      <c r="F588" s="154" t="str">
        <f>IF(wskakunin_iken5_DOC="","",wskakunin_iken5_DOC)</f>
        <v/>
      </c>
    </row>
    <row r="589" spans="1:22" s="33" customFormat="1" ht="15" customHeight="1">
      <c r="A589" s="215"/>
      <c r="B589" s="81"/>
      <c r="G589" s="17"/>
    </row>
    <row r="590" spans="1:22" ht="15" customHeight="1">
      <c r="A590" s="1" t="s">
        <v>686</v>
      </c>
      <c r="B590" s="44" t="s">
        <v>848</v>
      </c>
      <c r="G590" s="17"/>
      <c r="H590" s="17"/>
    </row>
    <row r="591" spans="1:22" ht="15" customHeight="1">
      <c r="A591" s="27"/>
      <c r="B591" s="72" t="s">
        <v>627</v>
      </c>
      <c r="C591" s="14" t="s">
        <v>849</v>
      </c>
      <c r="D591" s="154" t="s">
        <v>3278</v>
      </c>
      <c r="E591" s="14" t="s">
        <v>850</v>
      </c>
      <c r="F591" s="154" t="str">
        <f>IF(wskakunin_kanri1__sikaku="", "", wskakunin_kanri1__sikaku)</f>
        <v>二級建築士静岡県知事登録第20124号</v>
      </c>
      <c r="G591" s="17"/>
      <c r="H591" s="17"/>
    </row>
    <row r="592" spans="1:22" ht="15" customHeight="1">
      <c r="A592" s="27"/>
      <c r="B592" s="72" t="s">
        <v>628</v>
      </c>
      <c r="C592" s="14" t="s">
        <v>851</v>
      </c>
      <c r="D592" s="154" t="s">
        <v>204</v>
      </c>
      <c r="E592" s="14" t="s">
        <v>1476</v>
      </c>
      <c r="F592" s="154" t="str">
        <f>IF(wskakunin_kanri1_SIKAKU__label="", "", wskakunin_kanri1_SIKAKU__label)</f>
        <v>二級</v>
      </c>
      <c r="G592" s="17"/>
      <c r="H592" s="17"/>
    </row>
    <row r="593" spans="1:8" ht="15" customHeight="1">
      <c r="A593" s="32"/>
      <c r="B593" s="78" t="s">
        <v>623</v>
      </c>
      <c r="C593" s="14" t="s">
        <v>1404</v>
      </c>
      <c r="D593" s="154" t="s">
        <v>333</v>
      </c>
      <c r="E593" s="14" t="s">
        <v>852</v>
      </c>
      <c r="F593" s="154" t="str">
        <f>IF(wskakunin_kanri1_TOUROKU_KIKAN__label="","",wskakunin_kanri1_TOUROKU_KIKAN__label)</f>
        <v>静岡県知事</v>
      </c>
      <c r="G593" s="17"/>
      <c r="H593" s="17"/>
    </row>
    <row r="594" spans="1:8" ht="15" customHeight="1">
      <c r="A594" s="32"/>
      <c r="B594" s="78" t="s">
        <v>624</v>
      </c>
      <c r="C594" s="14" t="s">
        <v>853</v>
      </c>
      <c r="D594" s="240" t="s">
        <v>3279</v>
      </c>
      <c r="E594" s="14" t="s">
        <v>854</v>
      </c>
      <c r="F594" s="154" t="str">
        <f>IF(wskakunin_kanri1_KENTIKUSI_NO="","",wskakunin_kanri1_KENTIKUSI_NO)</f>
        <v>20124</v>
      </c>
      <c r="G594" s="17"/>
      <c r="H594" s="17"/>
    </row>
    <row r="595" spans="1:8" ht="15" customHeight="1">
      <c r="A595" s="60"/>
      <c r="B595" s="72" t="s">
        <v>11</v>
      </c>
      <c r="C595" s="14" t="s">
        <v>855</v>
      </c>
      <c r="D595" s="154" t="s">
        <v>3280</v>
      </c>
      <c r="E595" s="14" t="s">
        <v>856</v>
      </c>
      <c r="F595" s="154" t="str">
        <f>IF(wskakunin_kanri1_NAME="", "", wskakunin_kanri1_NAME)</f>
        <v>川口　賢二</v>
      </c>
      <c r="G595" s="17"/>
      <c r="H595" s="17"/>
    </row>
    <row r="596" spans="1:8" ht="15" customHeight="1">
      <c r="A596" s="60"/>
      <c r="B596" s="72" t="s">
        <v>629</v>
      </c>
      <c r="C596" s="14" t="s">
        <v>857</v>
      </c>
      <c r="D596" s="154" t="s">
        <v>3270</v>
      </c>
      <c r="E596" s="14" t="s">
        <v>858</v>
      </c>
      <c r="F596" s="154" t="str">
        <f>IF(wskakunin_kanri1_JIMU__sikaku="", "", wskakunin_kanri1_JIMU__sikaku)</f>
        <v>一級建築士事務所静岡県知事登録第(6)4774号</v>
      </c>
      <c r="G596" s="17"/>
      <c r="H596" s="17"/>
    </row>
    <row r="597" spans="1:8" ht="15" customHeight="1">
      <c r="A597" s="44"/>
      <c r="B597" s="78" t="s">
        <v>121</v>
      </c>
      <c r="C597" s="14" t="s">
        <v>859</v>
      </c>
      <c r="D597" s="154" t="s">
        <v>203</v>
      </c>
      <c r="E597" s="14" t="s">
        <v>1477</v>
      </c>
      <c r="F597" s="154" t="str">
        <f>IF(wskakunin_kanri1_JIMU_SIKAKU__label="","",wskakunin_kanri1_JIMU_SIKAKU__label)</f>
        <v>一級</v>
      </c>
      <c r="G597" s="17"/>
      <c r="H597" s="17"/>
    </row>
    <row r="598" spans="1:8" ht="15" customHeight="1">
      <c r="A598" s="44"/>
      <c r="B598" s="78" t="s">
        <v>630</v>
      </c>
      <c r="C598" s="14" t="s">
        <v>1405</v>
      </c>
      <c r="D598" s="154" t="s">
        <v>3265</v>
      </c>
      <c r="E598" s="14" t="s">
        <v>860</v>
      </c>
      <c r="F598" s="154" t="str">
        <f>IF(wskakunin_kanri1_JIMU_TOUROKU_KIKAN__label="","",wskakunin_kanri1_JIMU_TOUROKU_KIKAN__label)</f>
        <v>静岡県</v>
      </c>
      <c r="G598" s="17"/>
      <c r="H598" s="17"/>
    </row>
    <row r="599" spans="1:8" ht="15" customHeight="1">
      <c r="A599" s="44"/>
      <c r="B599" s="78" t="s">
        <v>631</v>
      </c>
      <c r="C599" s="14" t="s">
        <v>861</v>
      </c>
      <c r="D599" s="154" t="s">
        <v>3272</v>
      </c>
      <c r="E599" s="14" t="s">
        <v>862</v>
      </c>
      <c r="F599" s="154" t="str">
        <f>IF(wskakunin_kanri1_JIMU_NO="","",wskakunin_kanri1_JIMU_NO)</f>
        <v>(6)4774</v>
      </c>
      <c r="G599" s="17"/>
      <c r="H599" s="17"/>
    </row>
    <row r="600" spans="1:8" ht="15" customHeight="1">
      <c r="A600" s="60"/>
      <c r="B600" s="72" t="s">
        <v>122</v>
      </c>
      <c r="C600" s="14" t="s">
        <v>863</v>
      </c>
      <c r="D600" s="154" t="s">
        <v>3271</v>
      </c>
      <c r="E600" s="14" t="s">
        <v>864</v>
      </c>
      <c r="F600" s="154" t="str">
        <f>IF(wskakunin_kanri1_JIMU_NAME="", "", wskakunin_kanri1_JIMU_NAME)</f>
        <v>株式会社山田工務店　一級建築士事務所</v>
      </c>
      <c r="G600" s="17"/>
      <c r="H600" s="17"/>
    </row>
    <row r="601" spans="1:8" ht="15" customHeight="1">
      <c r="A601" s="60"/>
      <c r="B601" s="72" t="s">
        <v>12</v>
      </c>
      <c r="C601" s="14" t="s">
        <v>865</v>
      </c>
      <c r="D601" s="240" t="s">
        <v>3276</v>
      </c>
      <c r="E601" s="14" t="s">
        <v>866</v>
      </c>
      <c r="F601" s="154" t="str">
        <f>IF(wskakunin_kanri1_ZIP="", "", wskakunin_kanri1_ZIP)</f>
        <v>425-0074</v>
      </c>
      <c r="G601" s="17"/>
      <c r="H601" s="17"/>
    </row>
    <row r="602" spans="1:8" ht="15" customHeight="1">
      <c r="A602" s="60"/>
      <c r="B602" s="72"/>
      <c r="E602" s="14" t="s">
        <v>2748</v>
      </c>
      <c r="F602" s="154" t="str">
        <f>IF(wskakunin_kanri1_ZIP="","",LEFT(wskakunin_kanri1_ZIP,3)&amp;RIGHT(wskakunin_kanri1_ZIP,4))</f>
        <v>4250074</v>
      </c>
      <c r="G602" s="17"/>
      <c r="H602" s="17"/>
    </row>
    <row r="603" spans="1:8" ht="15" customHeight="1">
      <c r="A603" s="60"/>
      <c r="B603" s="72" t="s">
        <v>17</v>
      </c>
      <c r="C603" s="14" t="s">
        <v>867</v>
      </c>
      <c r="D603" s="154" t="s">
        <v>3268</v>
      </c>
      <c r="E603" s="14" t="s">
        <v>868</v>
      </c>
      <c r="F603" s="154" t="str">
        <f>IF(wskakunin_kanri1__address="", "", wskakunin_kanri1__address)</f>
        <v>静岡県焼津市柳新屋648-2</v>
      </c>
      <c r="G603" s="17"/>
      <c r="H603" s="17"/>
    </row>
    <row r="604" spans="1:8" ht="15" customHeight="1">
      <c r="A604" s="60"/>
      <c r="B604" s="72" t="s">
        <v>14</v>
      </c>
      <c r="C604" s="14" t="s">
        <v>869</v>
      </c>
      <c r="D604" s="240" t="s">
        <v>3275</v>
      </c>
      <c r="E604" s="14" t="s">
        <v>870</v>
      </c>
      <c r="F604" s="154" t="str">
        <f>IF(wskakunin_kanri1_TEL="", "", wskakunin_kanri1_TEL)</f>
        <v>054-621-5656</v>
      </c>
      <c r="G604" s="17"/>
      <c r="H604" s="17"/>
    </row>
    <row r="605" spans="1:8" ht="15" customHeight="1">
      <c r="A605" s="60"/>
      <c r="B605" s="72" t="s">
        <v>666</v>
      </c>
      <c r="C605" s="14" t="s">
        <v>871</v>
      </c>
      <c r="D605" s="240" t="s">
        <v>570</v>
      </c>
      <c r="E605" s="14" t="s">
        <v>872</v>
      </c>
      <c r="F605" s="154" t="str">
        <f>IF(wskakunin_kanri1_DOC="","",wskakunin_kanri1_DOC)</f>
        <v>設計図書一式</v>
      </c>
      <c r="G605" s="17"/>
      <c r="H605" s="17"/>
    </row>
    <row r="606" spans="1:8" ht="15" customHeight="1">
      <c r="A606" s="44"/>
      <c r="B606" s="75"/>
      <c r="G606" s="17"/>
      <c r="H606" s="17"/>
    </row>
    <row r="607" spans="1:8" ht="15" customHeight="1">
      <c r="A607" s="45" t="s">
        <v>687</v>
      </c>
      <c r="B607" s="44" t="s">
        <v>1977</v>
      </c>
      <c r="G607" s="17"/>
      <c r="H607" s="17"/>
    </row>
    <row r="608" spans="1:8" ht="15" customHeight="1">
      <c r="A608" s="27"/>
      <c r="B608" s="72" t="s">
        <v>627</v>
      </c>
      <c r="C608" s="14" t="s">
        <v>873</v>
      </c>
      <c r="D608" s="154"/>
      <c r="E608" s="14" t="s">
        <v>874</v>
      </c>
      <c r="F608" s="154" t="str">
        <f>IF(wskakunin_kanri2__sikaku="", "", wskakunin_kanri2__sikaku)</f>
        <v/>
      </c>
      <c r="G608" s="17"/>
      <c r="H608" s="17"/>
    </row>
    <row r="609" spans="1:8" ht="15" customHeight="1">
      <c r="A609" s="27"/>
      <c r="B609" s="72" t="s">
        <v>628</v>
      </c>
      <c r="C609" s="14" t="s">
        <v>875</v>
      </c>
      <c r="D609" s="154"/>
      <c r="E609" s="14" t="s">
        <v>1478</v>
      </c>
      <c r="F609" s="154" t="str">
        <f>IF(wskakunin_kanri2_SIKAKU__label="", "", wskakunin_kanri2_SIKAKU__label)</f>
        <v/>
      </c>
      <c r="G609" s="17"/>
      <c r="H609" s="17"/>
    </row>
    <row r="610" spans="1:8" ht="15" customHeight="1">
      <c r="A610" s="32"/>
      <c r="B610" s="78" t="s">
        <v>623</v>
      </c>
      <c r="C610" s="14" t="s">
        <v>1406</v>
      </c>
      <c r="D610" s="154"/>
      <c r="E610" s="14" t="s">
        <v>876</v>
      </c>
      <c r="F610" s="154" t="str">
        <f>IF(wskakunin_kanri2_TOUROKU_KIKAN__label="","",wskakunin_kanri2_TOUROKU_KIKAN__label)</f>
        <v/>
      </c>
      <c r="G610" s="17"/>
      <c r="H610" s="17"/>
    </row>
    <row r="611" spans="1:8" ht="15" customHeight="1">
      <c r="A611" s="32"/>
      <c r="B611" s="78" t="s">
        <v>624</v>
      </c>
      <c r="C611" s="14" t="s">
        <v>877</v>
      </c>
      <c r="D611" s="240"/>
      <c r="E611" s="14" t="s">
        <v>878</v>
      </c>
      <c r="F611" s="154" t="str">
        <f>IF(wskakunin_kanri2_KENTIKUSI_NO="","",wskakunin_kanri2_KENTIKUSI_NO)</f>
        <v/>
      </c>
      <c r="G611" s="17"/>
      <c r="H611" s="17"/>
    </row>
    <row r="612" spans="1:8" ht="15" customHeight="1">
      <c r="A612" s="60"/>
      <c r="B612" s="72" t="s">
        <v>11</v>
      </c>
      <c r="C612" s="14" t="s">
        <v>879</v>
      </c>
      <c r="D612" s="154"/>
      <c r="E612" s="14" t="s">
        <v>880</v>
      </c>
      <c r="F612" s="154" t="str">
        <f>IF(wskakunin_kanri2_NAME="", "", wskakunin_kanri2_NAME)</f>
        <v/>
      </c>
      <c r="G612" s="17"/>
      <c r="H612" s="17"/>
    </row>
    <row r="613" spans="1:8" ht="15" customHeight="1">
      <c r="A613" s="60"/>
      <c r="B613" s="72" t="s">
        <v>629</v>
      </c>
      <c r="C613" s="14" t="s">
        <v>881</v>
      </c>
      <c r="D613" s="154"/>
      <c r="E613" s="14" t="s">
        <v>882</v>
      </c>
      <c r="F613" s="154" t="str">
        <f>IF(wskakunin_kanri2_JIMU__sikaku="", "", wskakunin_kanri2_JIMU__sikaku)</f>
        <v/>
      </c>
      <c r="G613" s="17"/>
      <c r="H613" s="17"/>
    </row>
    <row r="614" spans="1:8" ht="15" customHeight="1">
      <c r="A614" s="44"/>
      <c r="B614" s="78" t="s">
        <v>121</v>
      </c>
      <c r="C614" s="14" t="s">
        <v>883</v>
      </c>
      <c r="D614" s="154"/>
      <c r="E614" s="14" t="s">
        <v>1479</v>
      </c>
      <c r="F614" s="154" t="str">
        <f>IF(wskakunin_kanri2_JIMU_SIKAKU__label="","",wskakunin_kanri2_JIMU_SIKAKU__label)</f>
        <v/>
      </c>
      <c r="G614" s="17"/>
      <c r="H614" s="17"/>
    </row>
    <row r="615" spans="1:8" ht="15" customHeight="1">
      <c r="A615" s="44"/>
      <c r="B615" s="78" t="s">
        <v>630</v>
      </c>
      <c r="C615" s="14" t="s">
        <v>1407</v>
      </c>
      <c r="D615" s="154"/>
      <c r="E615" s="14" t="s">
        <v>884</v>
      </c>
      <c r="F615" s="154" t="str">
        <f>IF(wskakunin_kanri2_JIMU_TOUROKU_KIKAN__label="","",wskakunin_kanri2_JIMU_TOUROKU_KIKAN__label)</f>
        <v/>
      </c>
      <c r="G615" s="17"/>
      <c r="H615" s="17"/>
    </row>
    <row r="616" spans="1:8" ht="15" customHeight="1">
      <c r="A616" s="44"/>
      <c r="B616" s="78" t="s">
        <v>631</v>
      </c>
      <c r="C616" s="14" t="s">
        <v>885</v>
      </c>
      <c r="D616" s="240"/>
      <c r="E616" s="14" t="s">
        <v>886</v>
      </c>
      <c r="F616" s="154" t="str">
        <f>IF(wskakunin_kanri2_JIMU_NO="","",wskakunin_kanri2_JIMU_NO)</f>
        <v/>
      </c>
      <c r="G616" s="17"/>
      <c r="H616" s="17"/>
    </row>
    <row r="617" spans="1:8" ht="15" customHeight="1">
      <c r="A617" s="60"/>
      <c r="B617" s="72" t="s">
        <v>122</v>
      </c>
      <c r="C617" s="14" t="s">
        <v>887</v>
      </c>
      <c r="D617" s="154"/>
      <c r="E617" s="14" t="s">
        <v>888</v>
      </c>
      <c r="F617" s="154" t="str">
        <f>IF(wskakunin_kanri2_JIMU_NAME="", "", wskakunin_kanri2_JIMU_NAME)</f>
        <v/>
      </c>
      <c r="G617" s="17"/>
      <c r="H617" s="17"/>
    </row>
    <row r="618" spans="1:8" ht="15" customHeight="1">
      <c r="A618" s="60"/>
      <c r="B618" s="72" t="s">
        <v>12</v>
      </c>
      <c r="C618" s="14" t="s">
        <v>889</v>
      </c>
      <c r="D618" s="240"/>
      <c r="E618" s="14" t="s">
        <v>890</v>
      </c>
      <c r="F618" s="154" t="str">
        <f>IF(wskakunin_kanri2_ZIP="", "", wskakunin_kanri2_ZIP)</f>
        <v/>
      </c>
      <c r="G618" s="17"/>
      <c r="H618" s="17"/>
    </row>
    <row r="619" spans="1:8" ht="15" customHeight="1">
      <c r="A619" s="60"/>
      <c r="B619" s="72" t="s">
        <v>17</v>
      </c>
      <c r="C619" s="14" t="s">
        <v>891</v>
      </c>
      <c r="D619" s="154"/>
      <c r="E619" s="14" t="s">
        <v>892</v>
      </c>
      <c r="F619" s="154" t="str">
        <f>IF(wskakunin_kanri2__address="", "", wskakunin_kanri2__address)</f>
        <v/>
      </c>
      <c r="G619" s="17"/>
      <c r="H619" s="17"/>
    </row>
    <row r="620" spans="1:8" ht="15" customHeight="1">
      <c r="A620" s="60"/>
      <c r="B620" s="72" t="s">
        <v>14</v>
      </c>
      <c r="C620" s="14" t="s">
        <v>893</v>
      </c>
      <c r="D620" s="240"/>
      <c r="E620" s="14" t="s">
        <v>894</v>
      </c>
      <c r="F620" s="154" t="str">
        <f>IF(wskakunin_kanri2_TEL="", "", wskakunin_kanri2_TEL)</f>
        <v/>
      </c>
      <c r="G620" s="17"/>
      <c r="H620" s="17"/>
    </row>
    <row r="621" spans="1:8" ht="15" customHeight="1">
      <c r="A621" s="60"/>
      <c r="B621" s="72" t="s">
        <v>666</v>
      </c>
      <c r="C621" s="14" t="s">
        <v>895</v>
      </c>
      <c r="D621" s="240"/>
      <c r="E621" s="14" t="s">
        <v>896</v>
      </c>
      <c r="F621" s="154" t="str">
        <f>IF(wskakunin_kanri2_DOC="","",wskakunin_kanri2_DOC)</f>
        <v/>
      </c>
      <c r="G621" s="17"/>
      <c r="H621" s="17"/>
    </row>
    <row r="622" spans="1:8" ht="15" customHeight="1">
      <c r="A622" s="105"/>
      <c r="B622" s="75"/>
      <c r="G622" s="17"/>
      <c r="H622" s="17"/>
    </row>
    <row r="623" spans="1:8" ht="15" customHeight="1">
      <c r="A623" s="45" t="s">
        <v>688</v>
      </c>
      <c r="B623" s="44" t="s">
        <v>1977</v>
      </c>
      <c r="G623" s="17"/>
      <c r="H623" s="17"/>
    </row>
    <row r="624" spans="1:8" ht="15" customHeight="1">
      <c r="A624" s="27"/>
      <c r="B624" s="72" t="s">
        <v>627</v>
      </c>
      <c r="C624" s="14" t="s">
        <v>897</v>
      </c>
      <c r="D624" s="154"/>
      <c r="E624" s="14" t="s">
        <v>898</v>
      </c>
      <c r="F624" s="154" t="str">
        <f>IF(wskakunin_kanri3__sikaku="", "", wskakunin_kanri3__sikaku)</f>
        <v/>
      </c>
      <c r="G624" s="17"/>
      <c r="H624" s="17"/>
    </row>
    <row r="625" spans="1:8" ht="15" customHeight="1">
      <c r="A625" s="27"/>
      <c r="B625" s="72" t="s">
        <v>628</v>
      </c>
      <c r="C625" s="14" t="s">
        <v>899</v>
      </c>
      <c r="D625" s="154"/>
      <c r="E625" s="14" t="s">
        <v>1480</v>
      </c>
      <c r="F625" s="154" t="str">
        <f>IF(wskakunin_kanri3_SIKAKU__label="", "", wskakunin_kanri3_SIKAKU__label)</f>
        <v/>
      </c>
      <c r="G625" s="17"/>
      <c r="H625" s="17"/>
    </row>
    <row r="626" spans="1:8" ht="15" customHeight="1">
      <c r="A626" s="32"/>
      <c r="B626" s="78" t="s">
        <v>623</v>
      </c>
      <c r="C626" s="14" t="s">
        <v>1408</v>
      </c>
      <c r="D626" s="154"/>
      <c r="E626" s="14" t="s">
        <v>900</v>
      </c>
      <c r="F626" s="154" t="str">
        <f>IF(wskakunin_kanri3_TOUROKU_KIKAN__label="","",wskakunin_kanri3_TOUROKU_KIKAN__label)</f>
        <v/>
      </c>
      <c r="G626" s="17"/>
      <c r="H626" s="17"/>
    </row>
    <row r="627" spans="1:8" ht="15" customHeight="1">
      <c r="A627" s="32"/>
      <c r="B627" s="78" t="s">
        <v>624</v>
      </c>
      <c r="C627" s="14" t="s">
        <v>901</v>
      </c>
      <c r="D627" s="240"/>
      <c r="E627" s="14" t="s">
        <v>902</v>
      </c>
      <c r="F627" s="154" t="str">
        <f>IF(wskakunin_kanri3_KENTIKUSI_NO="","",wskakunin_kanri3_KENTIKUSI_NO)</f>
        <v/>
      </c>
      <c r="G627" s="17"/>
      <c r="H627" s="17"/>
    </row>
    <row r="628" spans="1:8" ht="15" customHeight="1">
      <c r="A628" s="60"/>
      <c r="B628" s="72" t="s">
        <v>11</v>
      </c>
      <c r="C628" s="14" t="s">
        <v>903</v>
      </c>
      <c r="D628" s="154"/>
      <c r="E628" s="14" t="s">
        <v>904</v>
      </c>
      <c r="F628" s="154" t="str">
        <f>IF(wskakunin_kanri3_NAME="", "", wskakunin_kanri3_NAME)</f>
        <v/>
      </c>
      <c r="G628" s="17"/>
      <c r="H628" s="17"/>
    </row>
    <row r="629" spans="1:8" ht="15" customHeight="1">
      <c r="A629" s="60"/>
      <c r="B629" s="72" t="s">
        <v>629</v>
      </c>
      <c r="C629" s="14" t="s">
        <v>905</v>
      </c>
      <c r="D629" s="154"/>
      <c r="E629" s="14" t="s">
        <v>906</v>
      </c>
      <c r="F629" s="154" t="str">
        <f>IF(wskakunin_kanri3_JIMU__sikaku="", "", wskakunin_kanri3_JIMU__sikaku)</f>
        <v/>
      </c>
      <c r="G629" s="17"/>
      <c r="H629" s="17"/>
    </row>
    <row r="630" spans="1:8" ht="15" customHeight="1">
      <c r="A630" s="44"/>
      <c r="B630" s="78" t="s">
        <v>121</v>
      </c>
      <c r="C630" s="14" t="s">
        <v>907</v>
      </c>
      <c r="D630" s="154"/>
      <c r="E630" s="14" t="s">
        <v>1481</v>
      </c>
      <c r="F630" s="154" t="str">
        <f>IF(wskakunin_kanri3_JIMU_SIKAKU__label="","",wskakunin_kanri3_JIMU_SIKAKU__label)</f>
        <v/>
      </c>
      <c r="G630" s="17"/>
      <c r="H630" s="17"/>
    </row>
    <row r="631" spans="1:8" ht="15" customHeight="1">
      <c r="A631" s="44"/>
      <c r="B631" s="78" t="s">
        <v>630</v>
      </c>
      <c r="C631" s="14" t="s">
        <v>1409</v>
      </c>
      <c r="D631" s="154"/>
      <c r="E631" s="14" t="s">
        <v>908</v>
      </c>
      <c r="F631" s="154" t="str">
        <f>IF(wskakunin_kanri3_JIMU_TOUROKU_KIKAN__label="","",wskakunin_kanri3_JIMU_TOUROKU_KIKAN__label)</f>
        <v/>
      </c>
      <c r="G631" s="17"/>
      <c r="H631" s="17"/>
    </row>
    <row r="632" spans="1:8" ht="15" customHeight="1">
      <c r="A632" s="44"/>
      <c r="B632" s="78" t="s">
        <v>631</v>
      </c>
      <c r="C632" s="14" t="s">
        <v>909</v>
      </c>
      <c r="D632" s="240"/>
      <c r="E632" s="14" t="s">
        <v>910</v>
      </c>
      <c r="F632" s="154" t="str">
        <f>IF(wskakunin_kanri3_JIMU_NO="","",wskakunin_kanri3_JIMU_NO)</f>
        <v/>
      </c>
      <c r="G632" s="17"/>
      <c r="H632" s="17"/>
    </row>
    <row r="633" spans="1:8" ht="15" customHeight="1">
      <c r="A633" s="60"/>
      <c r="B633" s="72" t="s">
        <v>122</v>
      </c>
      <c r="C633" s="14" t="s">
        <v>911</v>
      </c>
      <c r="D633" s="154"/>
      <c r="E633" s="14" t="s">
        <v>912</v>
      </c>
      <c r="F633" s="154" t="str">
        <f>IF(wskakunin_kanri3_JIMU_NAME="", "", wskakunin_kanri3_JIMU_NAME)</f>
        <v/>
      </c>
      <c r="G633" s="17"/>
      <c r="H633" s="17"/>
    </row>
    <row r="634" spans="1:8" ht="15" customHeight="1">
      <c r="A634" s="60"/>
      <c r="B634" s="72" t="s">
        <v>12</v>
      </c>
      <c r="C634" s="14" t="s">
        <v>913</v>
      </c>
      <c r="D634" s="240"/>
      <c r="E634" s="14" t="s">
        <v>914</v>
      </c>
      <c r="F634" s="154" t="str">
        <f>IF(wskakunin_kanri3_ZIP="", "", wskakunin_kanri3_ZIP)</f>
        <v/>
      </c>
      <c r="G634" s="17"/>
      <c r="H634" s="17"/>
    </row>
    <row r="635" spans="1:8" ht="15" customHeight="1">
      <c r="A635" s="60"/>
      <c r="B635" s="72" t="s">
        <v>17</v>
      </c>
      <c r="C635" s="14" t="s">
        <v>915</v>
      </c>
      <c r="D635" s="154"/>
      <c r="E635" s="14" t="s">
        <v>916</v>
      </c>
      <c r="F635" s="154" t="str">
        <f>IF(wskakunin_kanri3__address="", "", wskakunin_kanri3__address)</f>
        <v/>
      </c>
      <c r="G635" s="17"/>
      <c r="H635" s="17"/>
    </row>
    <row r="636" spans="1:8" ht="15" customHeight="1">
      <c r="A636" s="60"/>
      <c r="B636" s="72" t="s">
        <v>14</v>
      </c>
      <c r="C636" s="14" t="s">
        <v>917</v>
      </c>
      <c r="D636" s="240"/>
      <c r="E636" s="14" t="s">
        <v>918</v>
      </c>
      <c r="F636" s="154" t="str">
        <f>IF(wskakunin_kanri3_TEL="", "", wskakunin_kanri3_TEL)</f>
        <v/>
      </c>
      <c r="G636" s="17"/>
      <c r="H636" s="17"/>
    </row>
    <row r="637" spans="1:8" ht="15" customHeight="1">
      <c r="A637" s="60"/>
      <c r="B637" s="72" t="s">
        <v>666</v>
      </c>
      <c r="C637" s="14" t="s">
        <v>919</v>
      </c>
      <c r="D637" s="240"/>
      <c r="E637" s="14" t="s">
        <v>920</v>
      </c>
      <c r="F637" s="154" t="str">
        <f>IF(wskakunin_kanri3_DOC="","",wskakunin_kanri3_DOC)</f>
        <v/>
      </c>
      <c r="G637" s="17"/>
      <c r="H637" s="17"/>
    </row>
    <row r="638" spans="1:8" ht="15" customHeight="1">
      <c r="A638" s="44"/>
      <c r="B638" s="75"/>
      <c r="G638" s="17"/>
      <c r="H638" s="17"/>
    </row>
    <row r="639" spans="1:8" ht="15" customHeight="1">
      <c r="A639" s="45" t="s">
        <v>689</v>
      </c>
      <c r="B639" s="44" t="s">
        <v>1977</v>
      </c>
      <c r="G639" s="17"/>
      <c r="H639" s="17"/>
    </row>
    <row r="640" spans="1:8" ht="15" customHeight="1">
      <c r="A640" s="27"/>
      <c r="B640" s="72" t="s">
        <v>627</v>
      </c>
      <c r="C640" s="14" t="s">
        <v>921</v>
      </c>
      <c r="D640" s="154"/>
      <c r="E640" s="14" t="s">
        <v>922</v>
      </c>
      <c r="F640" s="154" t="str">
        <f>IF(wskakunin_kanri4__sikaku="", "", wskakunin_kanri4__sikaku)</f>
        <v/>
      </c>
      <c r="G640" s="17"/>
      <c r="H640" s="17"/>
    </row>
    <row r="641" spans="1:8" ht="15" customHeight="1">
      <c r="A641" s="27"/>
      <c r="B641" s="72" t="s">
        <v>628</v>
      </c>
      <c r="C641" s="14" t="s">
        <v>923</v>
      </c>
      <c r="D641" s="154"/>
      <c r="E641" s="14" t="s">
        <v>1482</v>
      </c>
      <c r="F641" s="154" t="str">
        <f>IF(wskakunin_kanri4_SIKAKU__label="", "", wskakunin_kanri4_SIKAKU__label)</f>
        <v/>
      </c>
      <c r="G641" s="17"/>
      <c r="H641" s="17"/>
    </row>
    <row r="642" spans="1:8" ht="15" customHeight="1">
      <c r="A642" s="32"/>
      <c r="B642" s="78" t="s">
        <v>623</v>
      </c>
      <c r="C642" s="14" t="s">
        <v>1410</v>
      </c>
      <c r="D642" s="154"/>
      <c r="E642" s="14" t="s">
        <v>924</v>
      </c>
      <c r="F642" s="154" t="str">
        <f>IF(wskakunin_kanri4_TOUROKU_KIKAN__label="","",wskakunin_kanri4_TOUROKU_KIKAN__label)</f>
        <v/>
      </c>
      <c r="G642" s="17"/>
      <c r="H642" s="17"/>
    </row>
    <row r="643" spans="1:8" ht="15" customHeight="1">
      <c r="A643" s="32"/>
      <c r="B643" s="78" t="s">
        <v>624</v>
      </c>
      <c r="C643" s="14" t="s">
        <v>925</v>
      </c>
      <c r="D643" s="240"/>
      <c r="E643" s="14" t="s">
        <v>926</v>
      </c>
      <c r="F643" s="154" t="str">
        <f>IF(wskakunin_kanri4_KENTIKUSI_NO="","",wskakunin_kanri4_KENTIKUSI_NO)</f>
        <v/>
      </c>
      <c r="G643" s="17"/>
      <c r="H643" s="17"/>
    </row>
    <row r="644" spans="1:8" ht="15" customHeight="1">
      <c r="A644" s="60"/>
      <c r="B644" s="72" t="s">
        <v>11</v>
      </c>
      <c r="C644" s="14" t="s">
        <v>927</v>
      </c>
      <c r="D644" s="154"/>
      <c r="E644" s="14" t="s">
        <v>928</v>
      </c>
      <c r="F644" s="154" t="str">
        <f>IF(wskakunin_kanri4_NAME="", "", wskakunin_kanri4_NAME)</f>
        <v/>
      </c>
      <c r="G644" s="17"/>
      <c r="H644" s="17"/>
    </row>
    <row r="645" spans="1:8" ht="15" customHeight="1">
      <c r="A645" s="60"/>
      <c r="B645" s="72" t="s">
        <v>629</v>
      </c>
      <c r="C645" s="14" t="s">
        <v>929</v>
      </c>
      <c r="D645" s="154"/>
      <c r="E645" s="14" t="s">
        <v>930</v>
      </c>
      <c r="F645" s="154" t="str">
        <f>IF(wskakunin_kanri4_JIMU__sikaku="", "", wskakunin_kanri4_JIMU__sikaku)</f>
        <v/>
      </c>
      <c r="G645" s="17"/>
      <c r="H645" s="17"/>
    </row>
    <row r="646" spans="1:8" ht="15" customHeight="1">
      <c r="A646" s="44"/>
      <c r="B646" s="78" t="s">
        <v>121</v>
      </c>
      <c r="C646" s="14" t="s">
        <v>931</v>
      </c>
      <c r="D646" s="154"/>
      <c r="E646" s="14" t="s">
        <v>1475</v>
      </c>
      <c r="F646" s="154" t="str">
        <f>IF(wskakunin_kanri4_JIMU_SIKAKU__label="","",wskakunin_kanri4_JIMU_SIKAKU__label)</f>
        <v/>
      </c>
      <c r="G646" s="17"/>
      <c r="H646" s="17"/>
    </row>
    <row r="647" spans="1:8" ht="15" customHeight="1">
      <c r="A647" s="44"/>
      <c r="B647" s="78" t="s">
        <v>630</v>
      </c>
      <c r="C647" s="14" t="s">
        <v>1411</v>
      </c>
      <c r="D647" s="154"/>
      <c r="E647" s="14" t="s">
        <v>932</v>
      </c>
      <c r="F647" s="154" t="str">
        <f>IF(wskakunin_kanri4_JIMU_TOUROKU_KIKAN__label="","",wskakunin_kanri4_JIMU_TOUROKU_KIKAN__label)</f>
        <v/>
      </c>
      <c r="G647" s="17"/>
      <c r="H647" s="17"/>
    </row>
    <row r="648" spans="1:8" ht="15" customHeight="1">
      <c r="A648" s="44"/>
      <c r="B648" s="78" t="s">
        <v>631</v>
      </c>
      <c r="C648" s="14" t="s">
        <v>933</v>
      </c>
      <c r="D648" s="240"/>
      <c r="E648" s="14" t="s">
        <v>934</v>
      </c>
      <c r="F648" s="154" t="str">
        <f>IF(wskakunin_kanri4_JIMU_NO="","",wskakunin_kanri4_JIMU_NO)</f>
        <v/>
      </c>
      <c r="G648" s="17"/>
      <c r="H648" s="17"/>
    </row>
    <row r="649" spans="1:8" ht="15" customHeight="1">
      <c r="A649" s="60"/>
      <c r="B649" s="72" t="s">
        <v>122</v>
      </c>
      <c r="C649" s="14" t="s">
        <v>935</v>
      </c>
      <c r="D649" s="154"/>
      <c r="E649" s="14" t="s">
        <v>936</v>
      </c>
      <c r="F649" s="154" t="str">
        <f>IF(wskakunin_kanri4_JIMU_NAME="", "", wskakunin_kanri4_JIMU_NAME)</f>
        <v/>
      </c>
      <c r="G649" s="17"/>
      <c r="H649" s="17"/>
    </row>
    <row r="650" spans="1:8" ht="15" customHeight="1">
      <c r="A650" s="60"/>
      <c r="B650" s="72" t="s">
        <v>12</v>
      </c>
      <c r="C650" s="14" t="s">
        <v>937</v>
      </c>
      <c r="D650" s="240"/>
      <c r="E650" s="14" t="s">
        <v>938</v>
      </c>
      <c r="F650" s="154" t="str">
        <f>IF(wskakunin_kanri4_ZIP="", "", wskakunin_kanri4_ZIP)</f>
        <v/>
      </c>
      <c r="G650" s="17"/>
      <c r="H650" s="17"/>
    </row>
    <row r="651" spans="1:8" ht="15" customHeight="1">
      <c r="A651" s="60"/>
      <c r="B651" s="72" t="s">
        <v>17</v>
      </c>
      <c r="C651" s="14" t="s">
        <v>939</v>
      </c>
      <c r="D651" s="154"/>
      <c r="E651" s="14" t="s">
        <v>940</v>
      </c>
      <c r="F651" s="154" t="str">
        <f>IF(wskakunin_kanri4__address="", "", wskakunin_kanri4__address)</f>
        <v/>
      </c>
      <c r="G651" s="17"/>
      <c r="H651" s="17"/>
    </row>
    <row r="652" spans="1:8" ht="15" customHeight="1">
      <c r="A652" s="60"/>
      <c r="B652" s="72" t="s">
        <v>14</v>
      </c>
      <c r="C652" s="14" t="s">
        <v>941</v>
      </c>
      <c r="D652" s="240"/>
      <c r="E652" s="14" t="s">
        <v>942</v>
      </c>
      <c r="F652" s="154" t="str">
        <f>IF(wskakunin_kanri4_TEL="", "", wskakunin_kanri4_TEL)</f>
        <v/>
      </c>
      <c r="G652" s="17"/>
      <c r="H652" s="17"/>
    </row>
    <row r="653" spans="1:8" ht="15" customHeight="1">
      <c r="A653" s="60"/>
      <c r="B653" s="72" t="s">
        <v>666</v>
      </c>
      <c r="C653" s="14" t="s">
        <v>943</v>
      </c>
      <c r="D653" s="240"/>
      <c r="E653" s="14" t="s">
        <v>944</v>
      </c>
      <c r="F653" s="154" t="str">
        <f>IF(wskakunin_kanri4_DOC="","",wskakunin_kanri4_DOC)</f>
        <v/>
      </c>
      <c r="G653" s="17"/>
      <c r="H653" s="17"/>
    </row>
    <row r="654" spans="1:8" ht="15" customHeight="1">
      <c r="A654" s="44"/>
      <c r="B654" s="76"/>
      <c r="G654" s="17"/>
      <c r="H654" s="17"/>
    </row>
    <row r="655" spans="1:8" ht="15" customHeight="1">
      <c r="A655" s="45" t="s">
        <v>2174</v>
      </c>
      <c r="B655" s="44" t="s">
        <v>1977</v>
      </c>
      <c r="G655" s="17"/>
      <c r="H655" s="17"/>
    </row>
    <row r="656" spans="1:8" ht="15" customHeight="1">
      <c r="A656" s="27"/>
      <c r="B656" s="72" t="s">
        <v>627</v>
      </c>
      <c r="C656" s="14" t="s">
        <v>1978</v>
      </c>
      <c r="D656" s="154"/>
      <c r="E656" s="14" t="s">
        <v>1979</v>
      </c>
      <c r="F656" s="154" t="str">
        <f>IF(wskakunin_kanri5__sikaku="", "", wskakunin_kanri5__sikaku)</f>
        <v/>
      </c>
      <c r="H656" s="17"/>
    </row>
    <row r="657" spans="1:8" ht="15" customHeight="1">
      <c r="A657" s="27"/>
      <c r="B657" s="72" t="s">
        <v>628</v>
      </c>
      <c r="C657" s="14" t="s">
        <v>1980</v>
      </c>
      <c r="D657" s="154"/>
      <c r="E657" s="14" t="s">
        <v>1981</v>
      </c>
      <c r="F657" s="154" t="str">
        <f>IF(wskakunin_kanri5_SIKAKU__label="", "", wskakunin_kanri5_SIKAKU__label)</f>
        <v/>
      </c>
      <c r="H657" s="17"/>
    </row>
    <row r="658" spans="1:8" ht="15" customHeight="1">
      <c r="A658" s="32"/>
      <c r="B658" s="78" t="s">
        <v>623</v>
      </c>
      <c r="C658" s="14" t="s">
        <v>1982</v>
      </c>
      <c r="D658" s="154"/>
      <c r="E658" s="14" t="s">
        <v>1983</v>
      </c>
      <c r="F658" s="154" t="str">
        <f>IF(wskakunin_kanri5_TOUROKU_KIKAN__label="","",wskakunin_kanri5_TOUROKU_KIKAN__label)</f>
        <v/>
      </c>
      <c r="H658" s="17"/>
    </row>
    <row r="659" spans="1:8" ht="15" customHeight="1">
      <c r="A659" s="32"/>
      <c r="B659" s="78" t="s">
        <v>624</v>
      </c>
      <c r="C659" s="14" t="s">
        <v>1984</v>
      </c>
      <c r="D659" s="240"/>
      <c r="E659" s="14" t="s">
        <v>1985</v>
      </c>
      <c r="F659" s="154" t="str">
        <f>IF(wskakunin_kanri5_KENTIKUSI_NO="","",wskakunin_kanri5_KENTIKUSI_NO)</f>
        <v/>
      </c>
      <c r="H659" s="17"/>
    </row>
    <row r="660" spans="1:8" ht="15" customHeight="1">
      <c r="A660" s="60"/>
      <c r="B660" s="72" t="s">
        <v>11</v>
      </c>
      <c r="C660" s="14" t="s">
        <v>1986</v>
      </c>
      <c r="D660" s="154"/>
      <c r="E660" s="14" t="s">
        <v>1987</v>
      </c>
      <c r="F660" s="154" t="str">
        <f>IF(wskakunin_kanri5_NAME="", "", wskakunin_kanri5_NAME)</f>
        <v/>
      </c>
      <c r="H660" s="17"/>
    </row>
    <row r="661" spans="1:8" ht="15" customHeight="1">
      <c r="A661" s="60"/>
      <c r="B661" s="72" t="s">
        <v>629</v>
      </c>
      <c r="C661" s="14" t="s">
        <v>1988</v>
      </c>
      <c r="D661" s="154"/>
      <c r="E661" s="14" t="s">
        <v>1989</v>
      </c>
      <c r="F661" s="154" t="str">
        <f>IF(wskakunin_kanri5_JIMU__sikaku="", "", wskakunin_kanri5_JIMU__sikaku)</f>
        <v/>
      </c>
      <c r="H661" s="17"/>
    </row>
    <row r="662" spans="1:8" ht="15" customHeight="1">
      <c r="A662" s="44"/>
      <c r="B662" s="78" t="s">
        <v>121</v>
      </c>
      <c r="C662" s="14" t="s">
        <v>1990</v>
      </c>
      <c r="D662" s="154"/>
      <c r="E662" s="14" t="s">
        <v>1991</v>
      </c>
      <c r="F662" s="154" t="str">
        <f>IF(wskakunin_kanri5_JIMU_SIKAKU__label="","",wskakunin_kanri5_JIMU_SIKAKU__label)</f>
        <v/>
      </c>
      <c r="H662" s="17"/>
    </row>
    <row r="663" spans="1:8" ht="15" customHeight="1">
      <c r="A663" s="44"/>
      <c r="B663" s="78" t="s">
        <v>630</v>
      </c>
      <c r="C663" s="14" t="s">
        <v>1992</v>
      </c>
      <c r="D663" s="154"/>
      <c r="E663" s="14" t="s">
        <v>1993</v>
      </c>
      <c r="F663" s="154" t="str">
        <f>IF(wskakunin_kanri5_JIMU_TOUROKU_KIKAN__label="","",wskakunin_kanri5_JIMU_TOUROKU_KIKAN__label)</f>
        <v/>
      </c>
      <c r="H663" s="17"/>
    </row>
    <row r="664" spans="1:8" ht="15" customHeight="1">
      <c r="A664" s="44"/>
      <c r="B664" s="78" t="s">
        <v>631</v>
      </c>
      <c r="C664" s="14" t="s">
        <v>1994</v>
      </c>
      <c r="D664" s="240"/>
      <c r="E664" s="14" t="s">
        <v>1995</v>
      </c>
      <c r="F664" s="154" t="str">
        <f>IF(wskakunin_kanri5_JIMU_NO="","",wskakunin_kanri5_JIMU_NO)</f>
        <v/>
      </c>
      <c r="H664" s="17"/>
    </row>
    <row r="665" spans="1:8" ht="15" customHeight="1">
      <c r="A665" s="60"/>
      <c r="B665" s="72" t="s">
        <v>122</v>
      </c>
      <c r="C665" s="14" t="s">
        <v>1996</v>
      </c>
      <c r="D665" s="154"/>
      <c r="E665" s="14" t="s">
        <v>1997</v>
      </c>
      <c r="F665" s="154" t="str">
        <f>IF(wskakunin_kanri5_JIMU_NAME="", "", wskakunin_kanri5_JIMU_NAME)</f>
        <v/>
      </c>
      <c r="H665" s="17"/>
    </row>
    <row r="666" spans="1:8" ht="15" customHeight="1">
      <c r="A666" s="60"/>
      <c r="B666" s="72" t="s">
        <v>12</v>
      </c>
      <c r="C666" s="14" t="s">
        <v>1998</v>
      </c>
      <c r="D666" s="240"/>
      <c r="E666" s="14" t="s">
        <v>1999</v>
      </c>
      <c r="F666" s="154" t="str">
        <f>IF(wskakunin_kanri5_ZIP="", "", wskakunin_kanri5_ZIP)</f>
        <v/>
      </c>
      <c r="H666" s="17"/>
    </row>
    <row r="667" spans="1:8" ht="15" customHeight="1">
      <c r="A667" s="60"/>
      <c r="B667" s="72" t="s">
        <v>17</v>
      </c>
      <c r="C667" s="14" t="s">
        <v>2000</v>
      </c>
      <c r="D667" s="154"/>
      <c r="E667" s="14" t="s">
        <v>2001</v>
      </c>
      <c r="F667" s="154" t="str">
        <f>IF(wskakunin_kanri5__address="", "", wskakunin_kanri5__address)</f>
        <v/>
      </c>
      <c r="H667" s="17"/>
    </row>
    <row r="668" spans="1:8" ht="15" customHeight="1">
      <c r="A668" s="60"/>
      <c r="B668" s="72" t="s">
        <v>14</v>
      </c>
      <c r="C668" s="14" t="s">
        <v>2002</v>
      </c>
      <c r="D668" s="240"/>
      <c r="E668" s="14" t="s">
        <v>2003</v>
      </c>
      <c r="F668" s="154" t="str">
        <f>IF(wskakunin_kanri5_TEL="", "", wskakunin_kanri5_TEL)</f>
        <v/>
      </c>
      <c r="H668" s="17"/>
    </row>
    <row r="669" spans="1:8" ht="15" customHeight="1">
      <c r="A669" s="60"/>
      <c r="B669" s="72" t="s">
        <v>666</v>
      </c>
      <c r="C669" s="14" t="s">
        <v>2004</v>
      </c>
      <c r="D669" s="240"/>
      <c r="E669" s="14" t="s">
        <v>2005</v>
      </c>
      <c r="F669" s="154" t="str">
        <f>IF(wskakunin_kanri5_DOC="","",wskakunin_kanri5_DOC)</f>
        <v/>
      </c>
      <c r="H669" s="17"/>
    </row>
    <row r="670" spans="1:8" ht="15" customHeight="1">
      <c r="A670" s="44"/>
      <c r="B670" s="75"/>
      <c r="H670" s="17"/>
    </row>
    <row r="671" spans="1:8" ht="15" customHeight="1">
      <c r="A671" s="45" t="s">
        <v>2175</v>
      </c>
      <c r="B671" s="44" t="s">
        <v>1977</v>
      </c>
      <c r="H671" s="17"/>
    </row>
    <row r="672" spans="1:8" ht="15" customHeight="1">
      <c r="A672" s="27"/>
      <c r="B672" s="72" t="s">
        <v>627</v>
      </c>
      <c r="C672" s="14" t="s">
        <v>2006</v>
      </c>
      <c r="D672" s="154"/>
      <c r="E672" s="14" t="s">
        <v>2007</v>
      </c>
      <c r="F672" s="154" t="str">
        <f>IF(wskakunin_kanri6__sikaku="", "", wskakunin_kanri6__sikaku)</f>
        <v/>
      </c>
      <c r="H672" s="17"/>
    </row>
    <row r="673" spans="1:8" ht="15" customHeight="1">
      <c r="A673" s="27"/>
      <c r="B673" s="72" t="s">
        <v>628</v>
      </c>
      <c r="C673" s="14" t="s">
        <v>2008</v>
      </c>
      <c r="D673" s="154"/>
      <c r="E673" s="14" t="s">
        <v>2009</v>
      </c>
      <c r="F673" s="154" t="str">
        <f>IF(wskakunin_kanri6_SIKAKU__label="", "", wskakunin_kanri6_SIKAKU__label)</f>
        <v/>
      </c>
      <c r="H673" s="17"/>
    </row>
    <row r="674" spans="1:8" ht="15" customHeight="1">
      <c r="A674" s="32"/>
      <c r="B674" s="78" t="s">
        <v>623</v>
      </c>
      <c r="C674" s="14" t="s">
        <v>2010</v>
      </c>
      <c r="D674" s="154"/>
      <c r="E674" s="14" t="s">
        <v>2011</v>
      </c>
      <c r="F674" s="154" t="str">
        <f>IF(wskakunin_kanri6_TOUROKU_KIKAN__label="","",wskakunin_kanri6_TOUROKU_KIKAN__label)</f>
        <v/>
      </c>
      <c r="H674" s="17"/>
    </row>
    <row r="675" spans="1:8" ht="15" customHeight="1">
      <c r="A675" s="32"/>
      <c r="B675" s="78" t="s">
        <v>624</v>
      </c>
      <c r="C675" s="14" t="s">
        <v>2012</v>
      </c>
      <c r="D675" s="240"/>
      <c r="E675" s="14" t="s">
        <v>2013</v>
      </c>
      <c r="F675" s="154" t="str">
        <f>IF(wskakunin_kanri6_KENTIKUSI_NO="","",wskakunin_kanri6_KENTIKUSI_NO)</f>
        <v/>
      </c>
      <c r="H675" s="17"/>
    </row>
    <row r="676" spans="1:8" ht="15" customHeight="1">
      <c r="A676" s="60"/>
      <c r="B676" s="72" t="s">
        <v>11</v>
      </c>
      <c r="C676" s="14" t="s">
        <v>2014</v>
      </c>
      <c r="D676" s="154"/>
      <c r="E676" s="14" t="s">
        <v>2015</v>
      </c>
      <c r="F676" s="154" t="str">
        <f>IF(wskakunin_kanri6_NAME="", "", wskakunin_kanri6_NAME)</f>
        <v/>
      </c>
      <c r="H676" s="17"/>
    </row>
    <row r="677" spans="1:8" ht="15" customHeight="1">
      <c r="A677" s="60"/>
      <c r="B677" s="72" t="s">
        <v>629</v>
      </c>
      <c r="C677" s="14" t="s">
        <v>2016</v>
      </c>
      <c r="D677" s="154"/>
      <c r="E677" s="14" t="s">
        <v>2017</v>
      </c>
      <c r="F677" s="154" t="str">
        <f>IF(wskakunin_kanri6_JIMU__sikaku="", "", wskakunin_kanri6_JIMU__sikaku)</f>
        <v/>
      </c>
      <c r="H677" s="17"/>
    </row>
    <row r="678" spans="1:8" ht="15" customHeight="1">
      <c r="A678" s="44"/>
      <c r="B678" s="78" t="s">
        <v>121</v>
      </c>
      <c r="C678" s="14" t="s">
        <v>2018</v>
      </c>
      <c r="D678" s="154"/>
      <c r="E678" s="14" t="s">
        <v>2019</v>
      </c>
      <c r="F678" s="154" t="str">
        <f>IF(wskakunin_kanri6_JIMU_SIKAKU__label="","",wskakunin_kanri6_JIMU_SIKAKU__label)</f>
        <v/>
      </c>
      <c r="H678" s="17"/>
    </row>
    <row r="679" spans="1:8" ht="15" customHeight="1">
      <c r="A679" s="44"/>
      <c r="B679" s="78" t="s">
        <v>630</v>
      </c>
      <c r="C679" s="14" t="s">
        <v>2020</v>
      </c>
      <c r="D679" s="154"/>
      <c r="E679" s="14" t="s">
        <v>2021</v>
      </c>
      <c r="F679" s="154" t="str">
        <f>IF(wskakunin_kanri6_JIMU_TOUROKU_KIKAN__label="","",wskakunin_kanri6_JIMU_TOUROKU_KIKAN__label)</f>
        <v/>
      </c>
      <c r="H679" s="17"/>
    </row>
    <row r="680" spans="1:8" ht="15" customHeight="1">
      <c r="A680" s="44"/>
      <c r="B680" s="78" t="s">
        <v>631</v>
      </c>
      <c r="C680" s="14" t="s">
        <v>2022</v>
      </c>
      <c r="D680" s="240"/>
      <c r="E680" s="14" t="s">
        <v>2023</v>
      </c>
      <c r="F680" s="154" t="str">
        <f>IF(wskakunin_kanri6_JIMU_NO="","",wskakunin_kanri6_JIMU_NO)</f>
        <v/>
      </c>
      <c r="H680" s="17"/>
    </row>
    <row r="681" spans="1:8" ht="15" customHeight="1">
      <c r="A681" s="60"/>
      <c r="B681" s="72" t="s">
        <v>122</v>
      </c>
      <c r="C681" s="14" t="s">
        <v>2024</v>
      </c>
      <c r="D681" s="154"/>
      <c r="E681" s="14" t="s">
        <v>2025</v>
      </c>
      <c r="F681" s="154" t="str">
        <f>IF(wskakunin_kanri6_JIMU_NAME="", "", wskakunin_kanri6_JIMU_NAME)</f>
        <v/>
      </c>
      <c r="H681" s="17"/>
    </row>
    <row r="682" spans="1:8" ht="15" customHeight="1">
      <c r="A682" s="60"/>
      <c r="B682" s="72" t="s">
        <v>12</v>
      </c>
      <c r="C682" s="14" t="s">
        <v>2026</v>
      </c>
      <c r="D682" s="240"/>
      <c r="E682" s="14" t="s">
        <v>2027</v>
      </c>
      <c r="F682" s="154" t="str">
        <f>IF(wskakunin_kanri6_ZIP="", "", wskakunin_kanri6_ZIP)</f>
        <v/>
      </c>
      <c r="H682" s="17"/>
    </row>
    <row r="683" spans="1:8" ht="15" customHeight="1">
      <c r="A683" s="60"/>
      <c r="B683" s="72" t="s">
        <v>17</v>
      </c>
      <c r="C683" s="14" t="s">
        <v>2028</v>
      </c>
      <c r="D683" s="154"/>
      <c r="E683" s="14" t="s">
        <v>2029</v>
      </c>
      <c r="F683" s="154" t="str">
        <f>IF(wskakunin_kanri6__address="", "", wskakunin_kanri6__address)</f>
        <v/>
      </c>
      <c r="H683" s="17"/>
    </row>
    <row r="684" spans="1:8" ht="15" customHeight="1">
      <c r="A684" s="60"/>
      <c r="B684" s="72" t="s">
        <v>14</v>
      </c>
      <c r="C684" s="14" t="s">
        <v>2030</v>
      </c>
      <c r="D684" s="240"/>
      <c r="E684" s="14" t="s">
        <v>2031</v>
      </c>
      <c r="F684" s="154" t="str">
        <f>IF(wskakunin_kanri6_TEL="", "", wskakunin_kanri6_TEL)</f>
        <v/>
      </c>
      <c r="H684" s="17"/>
    </row>
    <row r="685" spans="1:8" ht="15" customHeight="1">
      <c r="A685" s="60"/>
      <c r="B685" s="72" t="s">
        <v>666</v>
      </c>
      <c r="C685" s="14" t="s">
        <v>2032</v>
      </c>
      <c r="D685" s="240"/>
      <c r="E685" s="14" t="s">
        <v>2033</v>
      </c>
      <c r="F685" s="154" t="str">
        <f>IF(wskakunin_kanri6_DOC="","",wskakunin_kanri6_DOC)</f>
        <v/>
      </c>
      <c r="H685" s="17"/>
    </row>
    <row r="686" spans="1:8" ht="15" customHeight="1">
      <c r="A686" s="44"/>
      <c r="B686" s="75"/>
      <c r="H686" s="17"/>
    </row>
    <row r="687" spans="1:8" ht="15" customHeight="1">
      <c r="A687" s="45" t="s">
        <v>2176</v>
      </c>
      <c r="B687" s="44" t="s">
        <v>1977</v>
      </c>
      <c r="H687" s="17"/>
    </row>
    <row r="688" spans="1:8" ht="15" customHeight="1">
      <c r="A688" s="27"/>
      <c r="B688" s="72" t="s">
        <v>627</v>
      </c>
      <c r="C688" s="14" t="s">
        <v>2034</v>
      </c>
      <c r="D688" s="154"/>
      <c r="E688" s="14" t="s">
        <v>2035</v>
      </c>
      <c r="F688" s="154" t="str">
        <f>IF(wskakunin_kanri7__sikaku="", "", wskakunin_kanri7__sikaku)</f>
        <v/>
      </c>
      <c r="H688" s="17"/>
    </row>
    <row r="689" spans="1:8" ht="15" customHeight="1">
      <c r="A689" s="27"/>
      <c r="B689" s="72" t="s">
        <v>628</v>
      </c>
      <c r="C689" s="14" t="s">
        <v>2036</v>
      </c>
      <c r="D689" s="154"/>
      <c r="E689" s="14" t="s">
        <v>2037</v>
      </c>
      <c r="F689" s="154" t="str">
        <f>IF(wskakunin_kanri7_SIKAKU__label="", "", wskakunin_kanri7_SIKAKU__label)</f>
        <v/>
      </c>
      <c r="H689" s="17"/>
    </row>
    <row r="690" spans="1:8" ht="15" customHeight="1">
      <c r="A690" s="32"/>
      <c r="B690" s="78" t="s">
        <v>623</v>
      </c>
      <c r="C690" s="14" t="s">
        <v>2038</v>
      </c>
      <c r="D690" s="154"/>
      <c r="E690" s="14" t="s">
        <v>2039</v>
      </c>
      <c r="F690" s="154" t="str">
        <f>IF(wskakunin_kanri7_TOUROKU_KIKAN__label="","",wskakunin_kanri7_TOUROKU_KIKAN__label)</f>
        <v/>
      </c>
      <c r="H690" s="17"/>
    </row>
    <row r="691" spans="1:8" ht="15" customHeight="1">
      <c r="A691" s="32"/>
      <c r="B691" s="78" t="s">
        <v>624</v>
      </c>
      <c r="C691" s="14" t="s">
        <v>2040</v>
      </c>
      <c r="D691" s="240"/>
      <c r="E691" s="14" t="s">
        <v>2041</v>
      </c>
      <c r="F691" s="154" t="str">
        <f>IF(wskakunin_kanri7_KENTIKUSI_NO="","",wskakunin_kanri7_KENTIKUSI_NO)</f>
        <v/>
      </c>
      <c r="H691" s="17"/>
    </row>
    <row r="692" spans="1:8" ht="15" customHeight="1">
      <c r="A692" s="60"/>
      <c r="B692" s="72" t="s">
        <v>11</v>
      </c>
      <c r="C692" s="14" t="s">
        <v>2042</v>
      </c>
      <c r="D692" s="154"/>
      <c r="E692" s="14" t="s">
        <v>2043</v>
      </c>
      <c r="F692" s="154" t="str">
        <f>IF(wskakunin_kanri7_NAME="", "", wskakunin_kanri7_NAME)</f>
        <v/>
      </c>
      <c r="H692" s="17"/>
    </row>
    <row r="693" spans="1:8" ht="15" customHeight="1">
      <c r="A693" s="60"/>
      <c r="B693" s="72" t="s">
        <v>629</v>
      </c>
      <c r="C693" s="14" t="s">
        <v>2044</v>
      </c>
      <c r="D693" s="154"/>
      <c r="E693" s="14" t="s">
        <v>2045</v>
      </c>
      <c r="F693" s="154" t="str">
        <f>IF(wskakunin_kanri7_JIMU__sikaku="", "", wskakunin_kanri7_JIMU__sikaku)</f>
        <v/>
      </c>
      <c r="H693" s="17"/>
    </row>
    <row r="694" spans="1:8" ht="15" customHeight="1">
      <c r="A694" s="44"/>
      <c r="B694" s="78" t="s">
        <v>121</v>
      </c>
      <c r="C694" s="14" t="s">
        <v>2046</v>
      </c>
      <c r="D694" s="154"/>
      <c r="E694" s="14" t="s">
        <v>2047</v>
      </c>
      <c r="F694" s="154" t="str">
        <f>IF(wskakunin_kanri7_JIMU_SIKAKU__label="","",wskakunin_kanri7_JIMU_SIKAKU__label)</f>
        <v/>
      </c>
      <c r="H694" s="17"/>
    </row>
    <row r="695" spans="1:8" ht="15" customHeight="1">
      <c r="A695" s="44"/>
      <c r="B695" s="78" t="s">
        <v>630</v>
      </c>
      <c r="C695" s="14" t="s">
        <v>2048</v>
      </c>
      <c r="D695" s="154"/>
      <c r="E695" s="14" t="s">
        <v>2049</v>
      </c>
      <c r="F695" s="154" t="str">
        <f>IF(wskakunin_kanri7_JIMU_TOUROKU_KIKAN__label="","",wskakunin_kanri7_JIMU_TOUROKU_KIKAN__label)</f>
        <v/>
      </c>
      <c r="H695" s="17"/>
    </row>
    <row r="696" spans="1:8" ht="15" customHeight="1">
      <c r="A696" s="44"/>
      <c r="B696" s="78" t="s">
        <v>631</v>
      </c>
      <c r="C696" s="14" t="s">
        <v>2050</v>
      </c>
      <c r="D696" s="240"/>
      <c r="E696" s="14" t="s">
        <v>2051</v>
      </c>
      <c r="F696" s="154" t="str">
        <f>IF(wskakunin_kanri7_JIMU_NO="","",wskakunin_kanri7_JIMU_NO)</f>
        <v/>
      </c>
      <c r="H696" s="17"/>
    </row>
    <row r="697" spans="1:8" ht="15" customHeight="1">
      <c r="A697" s="60"/>
      <c r="B697" s="72" t="s">
        <v>122</v>
      </c>
      <c r="C697" s="14" t="s">
        <v>2052</v>
      </c>
      <c r="D697" s="154"/>
      <c r="E697" s="14" t="s">
        <v>2053</v>
      </c>
      <c r="F697" s="154" t="str">
        <f>IF(wskakunin_kanri7_JIMU_NAME="", "", wskakunin_kanri7_JIMU_NAME)</f>
        <v/>
      </c>
      <c r="H697" s="17"/>
    </row>
    <row r="698" spans="1:8" ht="15" customHeight="1">
      <c r="A698" s="60"/>
      <c r="B698" s="72" t="s">
        <v>12</v>
      </c>
      <c r="C698" s="14" t="s">
        <v>2054</v>
      </c>
      <c r="D698" s="240"/>
      <c r="E698" s="14" t="s">
        <v>2055</v>
      </c>
      <c r="F698" s="154" t="str">
        <f>IF(wskakunin_kanri7_ZIP="", "", wskakunin_kanri7_ZIP)</f>
        <v/>
      </c>
      <c r="H698" s="17"/>
    </row>
    <row r="699" spans="1:8" ht="15" customHeight="1">
      <c r="A699" s="60"/>
      <c r="B699" s="72" t="s">
        <v>17</v>
      </c>
      <c r="C699" s="14" t="s">
        <v>2056</v>
      </c>
      <c r="D699" s="154"/>
      <c r="E699" s="14" t="s">
        <v>2057</v>
      </c>
      <c r="F699" s="154" t="str">
        <f>IF(wskakunin_kanri7__address="", "", wskakunin_kanri7__address)</f>
        <v/>
      </c>
      <c r="H699" s="17"/>
    </row>
    <row r="700" spans="1:8" ht="15" customHeight="1">
      <c r="A700" s="60"/>
      <c r="B700" s="72" t="s">
        <v>14</v>
      </c>
      <c r="C700" s="14" t="s">
        <v>2058</v>
      </c>
      <c r="D700" s="240"/>
      <c r="E700" s="14" t="s">
        <v>2059</v>
      </c>
      <c r="F700" s="154" t="str">
        <f>IF(wskakunin_kanri7_TEL="", "", wskakunin_kanri7_TEL)</f>
        <v/>
      </c>
      <c r="H700" s="17"/>
    </row>
    <row r="701" spans="1:8" ht="15" customHeight="1">
      <c r="A701" s="60"/>
      <c r="B701" s="72" t="s">
        <v>666</v>
      </c>
      <c r="C701" s="14" t="s">
        <v>2060</v>
      </c>
      <c r="D701" s="240"/>
      <c r="E701" s="14" t="s">
        <v>2061</v>
      </c>
      <c r="F701" s="154" t="str">
        <f>IF(wskakunin_kanri7_DOC="","",wskakunin_kanri7_DOC)</f>
        <v/>
      </c>
      <c r="H701" s="17"/>
    </row>
    <row r="702" spans="1:8" ht="15" customHeight="1">
      <c r="A702" s="44"/>
      <c r="B702" s="75"/>
      <c r="H702" s="17"/>
    </row>
    <row r="703" spans="1:8" ht="15" customHeight="1">
      <c r="A703" s="45" t="s">
        <v>2177</v>
      </c>
      <c r="B703" s="44" t="s">
        <v>1977</v>
      </c>
      <c r="H703" s="17"/>
    </row>
    <row r="704" spans="1:8" ht="15" customHeight="1">
      <c r="A704" s="27"/>
      <c r="B704" s="72" t="s">
        <v>627</v>
      </c>
      <c r="C704" s="14" t="s">
        <v>2062</v>
      </c>
      <c r="D704" s="154"/>
      <c r="E704" s="14" t="s">
        <v>2063</v>
      </c>
      <c r="F704" s="154" t="str">
        <f>IF(wskakunin_kanri8__sikaku="", "", wskakunin_kanri8__sikaku)</f>
        <v/>
      </c>
      <c r="H704" s="17"/>
    </row>
    <row r="705" spans="1:8" ht="15" customHeight="1">
      <c r="A705" s="27"/>
      <c r="B705" s="72" t="s">
        <v>628</v>
      </c>
      <c r="C705" s="14" t="s">
        <v>2064</v>
      </c>
      <c r="D705" s="154"/>
      <c r="E705" s="14" t="s">
        <v>2065</v>
      </c>
      <c r="F705" s="154" t="str">
        <f>IF(wskakunin_kanri8_SIKAKU__label="", "", wskakunin_kanri8_SIKAKU__label)</f>
        <v/>
      </c>
      <c r="H705" s="17"/>
    </row>
    <row r="706" spans="1:8" ht="15" customHeight="1">
      <c r="A706" s="32"/>
      <c r="B706" s="78" t="s">
        <v>623</v>
      </c>
      <c r="C706" s="14" t="s">
        <v>2066</v>
      </c>
      <c r="D706" s="154"/>
      <c r="E706" s="14" t="s">
        <v>2067</v>
      </c>
      <c r="F706" s="154" t="str">
        <f>IF(wskakunin_kanri8_TOUROKU_KIKAN__label="","",wskakunin_kanri8_TOUROKU_KIKAN__label)</f>
        <v/>
      </c>
      <c r="H706" s="17"/>
    </row>
    <row r="707" spans="1:8" ht="15" customHeight="1">
      <c r="A707" s="32"/>
      <c r="B707" s="78" t="s">
        <v>624</v>
      </c>
      <c r="C707" s="14" t="s">
        <v>2068</v>
      </c>
      <c r="D707" s="240"/>
      <c r="E707" s="14" t="s">
        <v>2069</v>
      </c>
      <c r="F707" s="154" t="str">
        <f>IF(wskakunin_kanri8_KENTIKUSI_NO="","",wskakunin_kanri8_KENTIKUSI_NO)</f>
        <v/>
      </c>
      <c r="H707" s="17"/>
    </row>
    <row r="708" spans="1:8" ht="15" customHeight="1">
      <c r="A708" s="60"/>
      <c r="B708" s="72" t="s">
        <v>11</v>
      </c>
      <c r="C708" s="14" t="s">
        <v>2070</v>
      </c>
      <c r="D708" s="154"/>
      <c r="E708" s="14" t="s">
        <v>2071</v>
      </c>
      <c r="F708" s="154" t="str">
        <f>IF(wskakunin_kanri8_NAME="", "", wskakunin_kanri8_NAME)</f>
        <v/>
      </c>
      <c r="H708" s="17"/>
    </row>
    <row r="709" spans="1:8" ht="15" customHeight="1">
      <c r="A709" s="60"/>
      <c r="B709" s="72" t="s">
        <v>629</v>
      </c>
      <c r="C709" s="14" t="s">
        <v>2072</v>
      </c>
      <c r="D709" s="154"/>
      <c r="E709" s="14" t="s">
        <v>2073</v>
      </c>
      <c r="F709" s="154" t="str">
        <f>IF(wskakunin_kanri8_JIMU__sikaku="", "", wskakunin_kanri8_JIMU__sikaku)</f>
        <v/>
      </c>
      <c r="H709" s="17"/>
    </row>
    <row r="710" spans="1:8" ht="15" customHeight="1">
      <c r="A710" s="44"/>
      <c r="B710" s="78" t="s">
        <v>121</v>
      </c>
      <c r="C710" s="14" t="s">
        <v>2074</v>
      </c>
      <c r="D710" s="154"/>
      <c r="E710" s="14" t="s">
        <v>2075</v>
      </c>
      <c r="F710" s="154" t="str">
        <f>IF(wskakunin_kanri8_JIMU_SIKAKU__label="","",wskakunin_kanri8_JIMU_SIKAKU__label)</f>
        <v/>
      </c>
      <c r="H710" s="17"/>
    </row>
    <row r="711" spans="1:8" ht="15" customHeight="1">
      <c r="A711" s="44"/>
      <c r="B711" s="78" t="s">
        <v>630</v>
      </c>
      <c r="C711" s="14" t="s">
        <v>2076</v>
      </c>
      <c r="D711" s="154"/>
      <c r="E711" s="14" t="s">
        <v>2077</v>
      </c>
      <c r="F711" s="154" t="str">
        <f>IF(wskakunin_kanri8_JIMU_TOUROKU_KIKAN__label="","",wskakunin_kanri8_JIMU_TOUROKU_KIKAN__label)</f>
        <v/>
      </c>
      <c r="H711" s="17"/>
    </row>
    <row r="712" spans="1:8" ht="15" customHeight="1">
      <c r="A712" s="44"/>
      <c r="B712" s="78" t="s">
        <v>631</v>
      </c>
      <c r="C712" s="14" t="s">
        <v>2078</v>
      </c>
      <c r="D712" s="240"/>
      <c r="E712" s="14" t="s">
        <v>2079</v>
      </c>
      <c r="F712" s="154" t="str">
        <f>IF(wskakunin_kanri8_JIMU_NO="","",wskakunin_kanri8_JIMU_NO)</f>
        <v/>
      </c>
      <c r="H712" s="17"/>
    </row>
    <row r="713" spans="1:8" ht="15" customHeight="1">
      <c r="A713" s="60"/>
      <c r="B713" s="72" t="s">
        <v>122</v>
      </c>
      <c r="C713" s="14" t="s">
        <v>2080</v>
      </c>
      <c r="D713" s="154"/>
      <c r="E713" s="14" t="s">
        <v>2081</v>
      </c>
      <c r="F713" s="154" t="str">
        <f>IF(wskakunin_kanri8_JIMU_NAME="", "", wskakunin_kanri8_JIMU_NAME)</f>
        <v/>
      </c>
      <c r="H713" s="17"/>
    </row>
    <row r="714" spans="1:8" ht="15" customHeight="1">
      <c r="A714" s="60"/>
      <c r="B714" s="72" t="s">
        <v>12</v>
      </c>
      <c r="C714" s="14" t="s">
        <v>2082</v>
      </c>
      <c r="D714" s="240"/>
      <c r="E714" s="14" t="s">
        <v>2083</v>
      </c>
      <c r="F714" s="154" t="str">
        <f>IF(wskakunin_kanri8_ZIP="", "", wskakunin_kanri8_ZIP)</f>
        <v/>
      </c>
      <c r="H714" s="17"/>
    </row>
    <row r="715" spans="1:8" ht="15" customHeight="1">
      <c r="A715" s="60"/>
      <c r="B715" s="72" t="s">
        <v>17</v>
      </c>
      <c r="C715" s="14" t="s">
        <v>2084</v>
      </c>
      <c r="D715" s="154"/>
      <c r="E715" s="14" t="s">
        <v>2085</v>
      </c>
      <c r="F715" s="154" t="str">
        <f>IF(wskakunin_kanri8__address="", "", wskakunin_kanri8__address)</f>
        <v/>
      </c>
      <c r="H715" s="17"/>
    </row>
    <row r="716" spans="1:8" ht="15" customHeight="1">
      <c r="A716" s="60"/>
      <c r="B716" s="72" t="s">
        <v>14</v>
      </c>
      <c r="C716" s="14" t="s">
        <v>2086</v>
      </c>
      <c r="D716" s="240"/>
      <c r="E716" s="14" t="s">
        <v>2087</v>
      </c>
      <c r="F716" s="154" t="str">
        <f>IF(wskakunin_kanri8_TEL="", "", wskakunin_kanri8_TEL)</f>
        <v/>
      </c>
      <c r="H716" s="17"/>
    </row>
    <row r="717" spans="1:8" ht="15" customHeight="1">
      <c r="A717" s="60"/>
      <c r="B717" s="72" t="s">
        <v>666</v>
      </c>
      <c r="C717" s="14" t="s">
        <v>2088</v>
      </c>
      <c r="D717" s="240"/>
      <c r="E717" s="14" t="s">
        <v>2089</v>
      </c>
      <c r="F717" s="154" t="str">
        <f>IF(wskakunin_kanri8_DOC="","",wskakunin_kanri8_DOC)</f>
        <v/>
      </c>
      <c r="H717" s="17"/>
    </row>
    <row r="718" spans="1:8" ht="15" customHeight="1">
      <c r="A718" s="44"/>
      <c r="B718" s="75"/>
      <c r="H718" s="17"/>
    </row>
    <row r="719" spans="1:8" ht="15" customHeight="1">
      <c r="A719" s="45" t="s">
        <v>2178</v>
      </c>
      <c r="B719" s="44" t="s">
        <v>1977</v>
      </c>
      <c r="H719" s="17"/>
    </row>
    <row r="720" spans="1:8" ht="15" customHeight="1">
      <c r="A720" s="27"/>
      <c r="B720" s="72" t="s">
        <v>627</v>
      </c>
      <c r="C720" s="14" t="s">
        <v>2090</v>
      </c>
      <c r="D720" s="154"/>
      <c r="E720" s="14" t="s">
        <v>2091</v>
      </c>
      <c r="F720" s="154" t="str">
        <f>IF(wskakunin_kanri9__sikaku="", "", wskakunin_kanri9__sikaku)</f>
        <v/>
      </c>
      <c r="H720" s="17"/>
    </row>
    <row r="721" spans="1:8" ht="15" customHeight="1">
      <c r="A721" s="27"/>
      <c r="B721" s="72" t="s">
        <v>628</v>
      </c>
      <c r="C721" s="14" t="s">
        <v>2092</v>
      </c>
      <c r="D721" s="154"/>
      <c r="E721" s="14" t="s">
        <v>2093</v>
      </c>
      <c r="F721" s="154" t="str">
        <f>IF(wskakunin_kanri9_SIKAKU__label="", "", wskakunin_kanri9_SIKAKU__label)</f>
        <v/>
      </c>
      <c r="H721" s="17"/>
    </row>
    <row r="722" spans="1:8" ht="15" customHeight="1">
      <c r="A722" s="32"/>
      <c r="B722" s="78" t="s">
        <v>623</v>
      </c>
      <c r="C722" s="14" t="s">
        <v>2094</v>
      </c>
      <c r="D722" s="154"/>
      <c r="E722" s="14" t="s">
        <v>2095</v>
      </c>
      <c r="F722" s="154" t="str">
        <f>IF(wskakunin_kanri9_TOUROKU_KIKAN__label="","",wskakunin_kanri9_TOUROKU_KIKAN__label)</f>
        <v/>
      </c>
      <c r="H722" s="17"/>
    </row>
    <row r="723" spans="1:8" ht="15" customHeight="1">
      <c r="A723" s="32"/>
      <c r="B723" s="78" t="s">
        <v>624</v>
      </c>
      <c r="C723" s="14" t="s">
        <v>2096</v>
      </c>
      <c r="D723" s="240"/>
      <c r="E723" s="14" t="s">
        <v>2097</v>
      </c>
      <c r="F723" s="154" t="str">
        <f>IF(wskakunin_kanri9_KENTIKUSI_NO="","",wskakunin_kanri9_KENTIKUSI_NO)</f>
        <v/>
      </c>
      <c r="H723" s="17"/>
    </row>
    <row r="724" spans="1:8" ht="15" customHeight="1">
      <c r="A724" s="60"/>
      <c r="B724" s="72" t="s">
        <v>11</v>
      </c>
      <c r="C724" s="14" t="s">
        <v>2098</v>
      </c>
      <c r="D724" s="154"/>
      <c r="E724" s="14" t="s">
        <v>2099</v>
      </c>
      <c r="F724" s="154" t="str">
        <f>IF(wskakunin_kanri9_NAME="", "", wskakunin_kanri9_NAME)</f>
        <v/>
      </c>
      <c r="H724" s="17"/>
    </row>
    <row r="725" spans="1:8" ht="15" customHeight="1">
      <c r="A725" s="60"/>
      <c r="B725" s="72" t="s">
        <v>629</v>
      </c>
      <c r="C725" s="14" t="s">
        <v>2100</v>
      </c>
      <c r="D725" s="154"/>
      <c r="E725" s="14" t="s">
        <v>2101</v>
      </c>
      <c r="F725" s="154" t="str">
        <f>IF(wskakunin_kanri9_JIMU__sikaku="", "", wskakunin_kanri9_JIMU__sikaku)</f>
        <v/>
      </c>
      <c r="H725" s="17"/>
    </row>
    <row r="726" spans="1:8" ht="15" customHeight="1">
      <c r="A726" s="44"/>
      <c r="B726" s="78" t="s">
        <v>121</v>
      </c>
      <c r="C726" s="14" t="s">
        <v>2102</v>
      </c>
      <c r="D726" s="154"/>
      <c r="E726" s="14" t="s">
        <v>2103</v>
      </c>
      <c r="F726" s="154" t="str">
        <f>IF(wskakunin_kanri9_JIMU_SIKAKU__label="","",wskakunin_kanri9_JIMU_SIKAKU__label)</f>
        <v/>
      </c>
      <c r="H726" s="17"/>
    </row>
    <row r="727" spans="1:8" ht="15" customHeight="1">
      <c r="A727" s="44"/>
      <c r="B727" s="78" t="s">
        <v>630</v>
      </c>
      <c r="C727" s="14" t="s">
        <v>2104</v>
      </c>
      <c r="D727" s="154"/>
      <c r="E727" s="14" t="s">
        <v>2105</v>
      </c>
      <c r="F727" s="154" t="str">
        <f>IF(wskakunin_kanri9_JIMU_TOUROKU_KIKAN__label="","",wskakunin_kanri9_JIMU_TOUROKU_KIKAN__label)</f>
        <v/>
      </c>
      <c r="H727" s="17"/>
    </row>
    <row r="728" spans="1:8" ht="15" customHeight="1">
      <c r="A728" s="44"/>
      <c r="B728" s="78" t="s">
        <v>631</v>
      </c>
      <c r="C728" s="14" t="s">
        <v>2106</v>
      </c>
      <c r="D728" s="240"/>
      <c r="E728" s="14" t="s">
        <v>2107</v>
      </c>
      <c r="F728" s="154" t="str">
        <f>IF(wskakunin_kanri9_JIMU_NO="","",wskakunin_kanri9_JIMU_NO)</f>
        <v/>
      </c>
      <c r="H728" s="17"/>
    </row>
    <row r="729" spans="1:8" ht="15" customHeight="1">
      <c r="A729" s="60"/>
      <c r="B729" s="72" t="s">
        <v>122</v>
      </c>
      <c r="C729" s="14" t="s">
        <v>2108</v>
      </c>
      <c r="D729" s="154"/>
      <c r="E729" s="14" t="s">
        <v>2109</v>
      </c>
      <c r="F729" s="154" t="str">
        <f>IF(wskakunin_kanri9_JIMU_NAME="", "", wskakunin_kanri9_JIMU_NAME)</f>
        <v/>
      </c>
      <c r="H729" s="17"/>
    </row>
    <row r="730" spans="1:8" ht="15" customHeight="1">
      <c r="A730" s="60"/>
      <c r="B730" s="72" t="s">
        <v>12</v>
      </c>
      <c r="C730" s="14" t="s">
        <v>2110</v>
      </c>
      <c r="D730" s="240"/>
      <c r="E730" s="14" t="s">
        <v>2111</v>
      </c>
      <c r="F730" s="154" t="str">
        <f>IF(wskakunin_kanri9_ZIP="", "", wskakunin_kanri9_ZIP)</f>
        <v/>
      </c>
      <c r="H730" s="17"/>
    </row>
    <row r="731" spans="1:8" ht="15" customHeight="1">
      <c r="A731" s="60"/>
      <c r="B731" s="72" t="s">
        <v>17</v>
      </c>
      <c r="C731" s="14" t="s">
        <v>2112</v>
      </c>
      <c r="D731" s="154"/>
      <c r="E731" s="14" t="s">
        <v>2113</v>
      </c>
      <c r="F731" s="154" t="str">
        <f>IF(wskakunin_kanri9__address="", "", wskakunin_kanri9__address)</f>
        <v/>
      </c>
      <c r="H731" s="17"/>
    </row>
    <row r="732" spans="1:8" ht="15" customHeight="1">
      <c r="A732" s="60"/>
      <c r="B732" s="72" t="s">
        <v>14</v>
      </c>
      <c r="C732" s="14" t="s">
        <v>2114</v>
      </c>
      <c r="D732" s="240"/>
      <c r="E732" s="14" t="s">
        <v>2115</v>
      </c>
      <c r="F732" s="154" t="str">
        <f>IF(wskakunin_kanri9_TEL="", "", wskakunin_kanri9_TEL)</f>
        <v/>
      </c>
      <c r="H732" s="17"/>
    </row>
    <row r="733" spans="1:8" ht="15" customHeight="1">
      <c r="A733" s="60"/>
      <c r="B733" s="72" t="s">
        <v>666</v>
      </c>
      <c r="C733" s="14" t="s">
        <v>2116</v>
      </c>
      <c r="D733" s="240"/>
      <c r="E733" s="14" t="s">
        <v>2117</v>
      </c>
      <c r="F733" s="154" t="str">
        <f>IF(wskakunin_kanri9_DOC="","",wskakunin_kanri9_DOC)</f>
        <v/>
      </c>
      <c r="H733" s="17"/>
    </row>
    <row r="734" spans="1:8" ht="15" customHeight="1">
      <c r="A734" s="44"/>
      <c r="B734" s="75"/>
      <c r="H734" s="17"/>
    </row>
    <row r="735" spans="1:8" ht="15" customHeight="1">
      <c r="A735" s="45" t="s">
        <v>2179</v>
      </c>
      <c r="B735" s="44" t="s">
        <v>1977</v>
      </c>
      <c r="H735" s="17"/>
    </row>
    <row r="736" spans="1:8" ht="15" customHeight="1">
      <c r="A736" s="27"/>
      <c r="B736" s="72" t="s">
        <v>627</v>
      </c>
      <c r="C736" s="14" t="s">
        <v>2118</v>
      </c>
      <c r="D736" s="154"/>
      <c r="E736" s="14" t="s">
        <v>2119</v>
      </c>
      <c r="F736" s="154" t="str">
        <f>IF(wskakunin_kanri10__sikaku="", "", wskakunin_kanri10__sikaku)</f>
        <v/>
      </c>
      <c r="H736" s="17"/>
    </row>
    <row r="737" spans="1:8" ht="15" customHeight="1">
      <c r="A737" s="27"/>
      <c r="B737" s="72" t="s">
        <v>628</v>
      </c>
      <c r="C737" s="14" t="s">
        <v>2120</v>
      </c>
      <c r="D737" s="154"/>
      <c r="E737" s="14" t="s">
        <v>2121</v>
      </c>
      <c r="F737" s="154" t="str">
        <f>IF(wskakunin_kanri10_SIKAKU__label="", "", wskakunin_kanri10_SIKAKU__label)</f>
        <v/>
      </c>
      <c r="H737" s="17"/>
    </row>
    <row r="738" spans="1:8" ht="15" customHeight="1">
      <c r="A738" s="32"/>
      <c r="B738" s="78" t="s">
        <v>623</v>
      </c>
      <c r="C738" s="14" t="s">
        <v>2122</v>
      </c>
      <c r="D738" s="154"/>
      <c r="E738" s="14" t="s">
        <v>2123</v>
      </c>
      <c r="F738" s="154" t="str">
        <f>IF(wskakunin_kanri10_TOUROKU_KIKAN__label="","",wskakunin_kanri10_TOUROKU_KIKAN__label)</f>
        <v/>
      </c>
      <c r="H738" s="17"/>
    </row>
    <row r="739" spans="1:8" ht="15" customHeight="1">
      <c r="A739" s="32"/>
      <c r="B739" s="78" t="s">
        <v>624</v>
      </c>
      <c r="C739" s="14" t="s">
        <v>2124</v>
      </c>
      <c r="D739" s="240"/>
      <c r="E739" s="14" t="s">
        <v>2125</v>
      </c>
      <c r="F739" s="154" t="str">
        <f>IF(wskakunin_kanri10_KENTIKUSI_NO="","",wskakunin_kanri10_KENTIKUSI_NO)</f>
        <v/>
      </c>
      <c r="H739" s="17"/>
    </row>
    <row r="740" spans="1:8" ht="15" customHeight="1">
      <c r="A740" s="60"/>
      <c r="B740" s="72" t="s">
        <v>11</v>
      </c>
      <c r="C740" s="14" t="s">
        <v>2126</v>
      </c>
      <c r="D740" s="154"/>
      <c r="E740" s="14" t="s">
        <v>2127</v>
      </c>
      <c r="F740" s="154" t="str">
        <f>IF(wskakunin_kanri10_NAME="", "", wskakunin_kanri10_NAME)</f>
        <v/>
      </c>
      <c r="H740" s="17"/>
    </row>
    <row r="741" spans="1:8" ht="15" customHeight="1">
      <c r="A741" s="60"/>
      <c r="B741" s="72" t="s">
        <v>629</v>
      </c>
      <c r="C741" s="14" t="s">
        <v>2128</v>
      </c>
      <c r="D741" s="154"/>
      <c r="E741" s="14" t="s">
        <v>2129</v>
      </c>
      <c r="F741" s="154" t="str">
        <f>IF(wskakunin_kanri10_JIMU__sikaku="", "", wskakunin_kanri10_JIMU__sikaku)</f>
        <v/>
      </c>
      <c r="H741" s="17"/>
    </row>
    <row r="742" spans="1:8" ht="15" customHeight="1">
      <c r="A742" s="44"/>
      <c r="B742" s="78" t="s">
        <v>121</v>
      </c>
      <c r="C742" s="14" t="s">
        <v>2130</v>
      </c>
      <c r="D742" s="154"/>
      <c r="E742" s="14" t="s">
        <v>2131</v>
      </c>
      <c r="F742" s="154" t="str">
        <f>IF(wskakunin_kanri10_JIMU_SIKAKU__label="","",wskakunin_kanri10_JIMU_SIKAKU__label)</f>
        <v/>
      </c>
      <c r="H742" s="17"/>
    </row>
    <row r="743" spans="1:8" ht="15" customHeight="1">
      <c r="A743" s="44"/>
      <c r="B743" s="78" t="s">
        <v>630</v>
      </c>
      <c r="C743" s="14" t="s">
        <v>2132</v>
      </c>
      <c r="D743" s="154"/>
      <c r="E743" s="14" t="s">
        <v>2133</v>
      </c>
      <c r="F743" s="154" t="str">
        <f>IF(wskakunin_kanri10_JIMU_TOUROKU_KIKAN__label="","",wskakunin_kanri10_JIMU_TOUROKU_KIKAN__label)</f>
        <v/>
      </c>
      <c r="H743" s="17"/>
    </row>
    <row r="744" spans="1:8" ht="15" customHeight="1">
      <c r="A744" s="44"/>
      <c r="B744" s="78" t="s">
        <v>631</v>
      </c>
      <c r="C744" s="14" t="s">
        <v>2134</v>
      </c>
      <c r="D744" s="240"/>
      <c r="E744" s="14" t="s">
        <v>2135</v>
      </c>
      <c r="F744" s="154" t="str">
        <f>IF(wskakunin_kanri10_JIMU_NO="","",wskakunin_kanri10_JIMU_NO)</f>
        <v/>
      </c>
      <c r="H744" s="17"/>
    </row>
    <row r="745" spans="1:8" ht="15" customHeight="1">
      <c r="A745" s="60"/>
      <c r="B745" s="72" t="s">
        <v>122</v>
      </c>
      <c r="C745" s="14" t="s">
        <v>2136</v>
      </c>
      <c r="D745" s="154"/>
      <c r="E745" s="14" t="s">
        <v>2137</v>
      </c>
      <c r="F745" s="154" t="str">
        <f>IF(wskakunin_kanri10_JIMU_NAME="", "", wskakunin_kanri10_JIMU_NAME)</f>
        <v/>
      </c>
      <c r="H745" s="17"/>
    </row>
    <row r="746" spans="1:8" ht="15" customHeight="1">
      <c r="A746" s="60"/>
      <c r="B746" s="72" t="s">
        <v>12</v>
      </c>
      <c r="C746" s="14" t="s">
        <v>2138</v>
      </c>
      <c r="D746" s="240"/>
      <c r="E746" s="14" t="s">
        <v>2139</v>
      </c>
      <c r="F746" s="154" t="str">
        <f>IF(wskakunin_kanri10_ZIP="", "", wskakunin_kanri10_ZIP)</f>
        <v/>
      </c>
      <c r="H746" s="17"/>
    </row>
    <row r="747" spans="1:8" ht="15" customHeight="1">
      <c r="A747" s="60"/>
      <c r="B747" s="72" t="s">
        <v>17</v>
      </c>
      <c r="C747" s="14" t="s">
        <v>2140</v>
      </c>
      <c r="D747" s="154"/>
      <c r="E747" s="14" t="s">
        <v>2141</v>
      </c>
      <c r="F747" s="154" t="str">
        <f>IF(wskakunin_kanri10__address="", "", wskakunin_kanri10__address)</f>
        <v/>
      </c>
      <c r="H747" s="17"/>
    </row>
    <row r="748" spans="1:8" ht="15" customHeight="1">
      <c r="A748" s="60"/>
      <c r="B748" s="72" t="s">
        <v>14</v>
      </c>
      <c r="C748" s="14" t="s">
        <v>2142</v>
      </c>
      <c r="D748" s="240"/>
      <c r="E748" s="14" t="s">
        <v>2143</v>
      </c>
      <c r="F748" s="154" t="str">
        <f>IF(wskakunin_kanri10_TEL="", "", wskakunin_kanri10_TEL)</f>
        <v/>
      </c>
      <c r="H748" s="17"/>
    </row>
    <row r="749" spans="1:8" ht="15" customHeight="1">
      <c r="A749" s="60"/>
      <c r="B749" s="72" t="s">
        <v>666</v>
      </c>
      <c r="C749" s="14" t="s">
        <v>2144</v>
      </c>
      <c r="D749" s="240"/>
      <c r="E749" s="14" t="s">
        <v>2145</v>
      </c>
      <c r="F749" s="154" t="str">
        <f>IF(wskakunin_kanri10_DOC="","",wskakunin_kanri10_DOC)</f>
        <v/>
      </c>
      <c r="H749" s="17"/>
    </row>
    <row r="750" spans="1:8" ht="15" customHeight="1">
      <c r="A750" s="44"/>
      <c r="B750" s="75"/>
      <c r="H750" s="17"/>
    </row>
    <row r="751" spans="1:8" ht="15" customHeight="1">
      <c r="A751" s="45" t="s">
        <v>2180</v>
      </c>
      <c r="B751" s="44" t="s">
        <v>1977</v>
      </c>
      <c r="H751" s="17"/>
    </row>
    <row r="752" spans="1:8" ht="15" customHeight="1">
      <c r="A752" s="27"/>
      <c r="B752" s="72" t="s">
        <v>627</v>
      </c>
      <c r="C752" s="14" t="s">
        <v>2146</v>
      </c>
      <c r="D752" s="154"/>
      <c r="E752" s="14" t="s">
        <v>2147</v>
      </c>
      <c r="F752" s="154" t="str">
        <f>IF(wskakunin_kanri11__sikaku="", "", wskakunin_kanri11__sikaku)</f>
        <v/>
      </c>
      <c r="H752" s="17"/>
    </row>
    <row r="753" spans="1:8" ht="15" customHeight="1">
      <c r="A753" s="27"/>
      <c r="B753" s="72" t="s">
        <v>628</v>
      </c>
      <c r="C753" s="14" t="s">
        <v>2148</v>
      </c>
      <c r="D753" s="154"/>
      <c r="E753" s="14" t="s">
        <v>2149</v>
      </c>
      <c r="F753" s="154" t="str">
        <f>IF(wskakunin_kanri11_SIKAKU__label="", "", wskakunin_kanri11_SIKAKU__label)</f>
        <v/>
      </c>
      <c r="H753" s="17"/>
    </row>
    <row r="754" spans="1:8" ht="15" customHeight="1">
      <c r="A754" s="32"/>
      <c r="B754" s="78" t="s">
        <v>623</v>
      </c>
      <c r="C754" s="14" t="s">
        <v>2150</v>
      </c>
      <c r="D754" s="154"/>
      <c r="E754" s="14" t="s">
        <v>2151</v>
      </c>
      <c r="F754" s="154" t="str">
        <f>IF(wskakunin_kanri11_TOUROKU_KIKAN__label="","",wskakunin_kanri11_TOUROKU_KIKAN__label)</f>
        <v/>
      </c>
      <c r="H754" s="17"/>
    </row>
    <row r="755" spans="1:8" ht="15" customHeight="1">
      <c r="A755" s="32"/>
      <c r="B755" s="78" t="s">
        <v>624</v>
      </c>
      <c r="C755" s="14" t="s">
        <v>2152</v>
      </c>
      <c r="D755" s="240"/>
      <c r="E755" s="14" t="s">
        <v>2153</v>
      </c>
      <c r="F755" s="154" t="str">
        <f>IF(wskakunin_kanri11_KENTIKUSI_NO="","",wskakunin_kanri11_KENTIKUSI_NO)</f>
        <v/>
      </c>
      <c r="H755" s="17"/>
    </row>
    <row r="756" spans="1:8" ht="15" customHeight="1">
      <c r="A756" s="60"/>
      <c r="B756" s="72" t="s">
        <v>11</v>
      </c>
      <c r="C756" s="14" t="s">
        <v>2154</v>
      </c>
      <c r="D756" s="154"/>
      <c r="E756" s="14" t="s">
        <v>2155</v>
      </c>
      <c r="F756" s="154" t="str">
        <f>IF(wskakunin_kanri11_NAME="", "", wskakunin_kanri11_NAME)</f>
        <v/>
      </c>
      <c r="H756" s="17"/>
    </row>
    <row r="757" spans="1:8" ht="15" customHeight="1">
      <c r="A757" s="60"/>
      <c r="B757" s="72" t="s">
        <v>629</v>
      </c>
      <c r="C757" s="14" t="s">
        <v>2156</v>
      </c>
      <c r="D757" s="154"/>
      <c r="E757" s="14" t="s">
        <v>2157</v>
      </c>
      <c r="F757" s="154" t="str">
        <f>IF(wskakunin_kanri11_JIMU__sikaku="", "", wskakunin_kanri11_JIMU__sikaku)</f>
        <v/>
      </c>
      <c r="H757" s="17"/>
    </row>
    <row r="758" spans="1:8" ht="15" customHeight="1">
      <c r="A758" s="44"/>
      <c r="B758" s="78" t="s">
        <v>121</v>
      </c>
      <c r="C758" s="14" t="s">
        <v>2158</v>
      </c>
      <c r="D758" s="154"/>
      <c r="E758" s="14" t="s">
        <v>2159</v>
      </c>
      <c r="F758" s="154" t="str">
        <f>IF(wskakunin_kanri11_JIMU_SIKAKU__label="","",wskakunin_kanri11_JIMU_SIKAKU__label)</f>
        <v/>
      </c>
      <c r="H758" s="17"/>
    </row>
    <row r="759" spans="1:8" ht="15" customHeight="1">
      <c r="A759" s="44"/>
      <c r="B759" s="78" t="s">
        <v>630</v>
      </c>
      <c r="C759" s="14" t="s">
        <v>2160</v>
      </c>
      <c r="D759" s="154"/>
      <c r="E759" s="14" t="s">
        <v>2161</v>
      </c>
      <c r="F759" s="154" t="str">
        <f>IF(wskakunin_kanri11_JIMU_TOUROKU_KIKAN__label="","",wskakunin_kanri11_JIMU_TOUROKU_KIKAN__label)</f>
        <v/>
      </c>
      <c r="H759" s="17"/>
    </row>
    <row r="760" spans="1:8" ht="15" customHeight="1">
      <c r="A760" s="44"/>
      <c r="B760" s="78" t="s">
        <v>631</v>
      </c>
      <c r="C760" s="14" t="s">
        <v>2162</v>
      </c>
      <c r="D760" s="240"/>
      <c r="E760" s="14" t="s">
        <v>2163</v>
      </c>
      <c r="F760" s="154" t="str">
        <f>IF(wskakunin_kanri11_JIMU_NO="","",wskakunin_kanri11_JIMU_NO)</f>
        <v/>
      </c>
      <c r="H760" s="17"/>
    </row>
    <row r="761" spans="1:8" ht="15" customHeight="1">
      <c r="A761" s="60"/>
      <c r="B761" s="72" t="s">
        <v>122</v>
      </c>
      <c r="C761" s="14" t="s">
        <v>2164</v>
      </c>
      <c r="D761" s="154"/>
      <c r="E761" s="14" t="s">
        <v>2165</v>
      </c>
      <c r="F761" s="154" t="str">
        <f>IF(wskakunin_kanri11_JIMU_NAME="", "", wskakunin_kanri11_JIMU_NAME)</f>
        <v/>
      </c>
      <c r="H761" s="17"/>
    </row>
    <row r="762" spans="1:8" ht="15" customHeight="1">
      <c r="A762" s="60"/>
      <c r="B762" s="72" t="s">
        <v>12</v>
      </c>
      <c r="C762" s="14" t="s">
        <v>2166</v>
      </c>
      <c r="D762" s="240"/>
      <c r="E762" s="14" t="s">
        <v>2167</v>
      </c>
      <c r="F762" s="154" t="str">
        <f>IF(wskakunin_kanri11_ZIP="", "", wskakunin_kanri11_ZIP)</f>
        <v/>
      </c>
      <c r="H762" s="17"/>
    </row>
    <row r="763" spans="1:8" ht="15" customHeight="1">
      <c r="A763" s="60"/>
      <c r="B763" s="72" t="s">
        <v>17</v>
      </c>
      <c r="C763" s="14" t="s">
        <v>2168</v>
      </c>
      <c r="D763" s="154"/>
      <c r="E763" s="14" t="s">
        <v>2169</v>
      </c>
      <c r="F763" s="154" t="str">
        <f>IF(wskakunin_kanri11__address="", "", wskakunin_kanri11__address)</f>
        <v/>
      </c>
      <c r="H763" s="17"/>
    </row>
    <row r="764" spans="1:8" ht="15" customHeight="1">
      <c r="A764" s="60"/>
      <c r="B764" s="72" t="s">
        <v>14</v>
      </c>
      <c r="C764" s="14" t="s">
        <v>2170</v>
      </c>
      <c r="D764" s="240"/>
      <c r="E764" s="14" t="s">
        <v>2171</v>
      </c>
      <c r="F764" s="154" t="str">
        <f>IF(wskakunin_kanri11_TEL="", "", wskakunin_kanri11_TEL)</f>
        <v/>
      </c>
      <c r="H764" s="17"/>
    </row>
    <row r="765" spans="1:8" ht="15" customHeight="1">
      <c r="A765" s="60"/>
      <c r="B765" s="72" t="s">
        <v>666</v>
      </c>
      <c r="C765" s="14" t="s">
        <v>2172</v>
      </c>
      <c r="D765" s="240"/>
      <c r="E765" s="14" t="s">
        <v>2173</v>
      </c>
      <c r="F765" s="154" t="str">
        <f>IF(wskakunin_kanri11_DOC="","",wskakunin_kanri11_DOC)</f>
        <v/>
      </c>
      <c r="H765" s="17"/>
    </row>
    <row r="766" spans="1:8" ht="15" customHeight="1">
      <c r="A766" s="44"/>
      <c r="B766" s="75"/>
      <c r="G766" s="17"/>
      <c r="H766" s="17"/>
    </row>
    <row r="767" spans="1:8" ht="15" customHeight="1">
      <c r="A767" s="45" t="s">
        <v>2299</v>
      </c>
      <c r="B767" s="44" t="s">
        <v>1977</v>
      </c>
      <c r="H767" s="17"/>
    </row>
    <row r="768" spans="1:8" ht="15" customHeight="1">
      <c r="A768" s="27"/>
      <c r="B768" s="72" t="s">
        <v>627</v>
      </c>
      <c r="C768" s="14" t="s">
        <v>2300</v>
      </c>
      <c r="D768" s="154"/>
      <c r="E768" s="14" t="s">
        <v>2301</v>
      </c>
      <c r="F768" s="154" t="str">
        <f>IF(wskakunin_kanri12__sikaku="", "", wskakunin_kanri12__sikaku)</f>
        <v/>
      </c>
      <c r="H768" s="17"/>
    </row>
    <row r="769" spans="1:8" ht="15" customHeight="1">
      <c r="A769" s="27"/>
      <c r="B769" s="72" t="s">
        <v>628</v>
      </c>
      <c r="C769" s="14" t="s">
        <v>2302</v>
      </c>
      <c r="D769" s="154"/>
      <c r="E769" s="14" t="s">
        <v>2303</v>
      </c>
      <c r="F769" s="154" t="str">
        <f>IF(wskakunin_kanri12_SIKAKU__label="", "", wskakunin_kanri12_SIKAKU__label)</f>
        <v/>
      </c>
      <c r="H769" s="17"/>
    </row>
    <row r="770" spans="1:8" ht="15" customHeight="1">
      <c r="A770" s="32"/>
      <c r="B770" s="78" t="s">
        <v>623</v>
      </c>
      <c r="C770" s="14" t="s">
        <v>2304</v>
      </c>
      <c r="D770" s="154"/>
      <c r="E770" s="14" t="s">
        <v>2305</v>
      </c>
      <c r="F770" s="154" t="str">
        <f>IF(wskakunin_kanri12_TOUROKU_KIKAN__label="","",wskakunin_kanri12_TOUROKU_KIKAN__label)</f>
        <v/>
      </c>
      <c r="H770" s="17"/>
    </row>
    <row r="771" spans="1:8" ht="15" customHeight="1">
      <c r="A771" s="32"/>
      <c r="B771" s="78" t="s">
        <v>624</v>
      </c>
      <c r="C771" s="14" t="s">
        <v>2306</v>
      </c>
      <c r="D771" s="240"/>
      <c r="E771" s="14" t="s">
        <v>2307</v>
      </c>
      <c r="F771" s="154" t="str">
        <f>IF(wskakunin_kanri12_KENTIKUSI_NO="","",wskakunin_kanri12_KENTIKUSI_NO)</f>
        <v/>
      </c>
      <c r="H771" s="17"/>
    </row>
    <row r="772" spans="1:8" ht="15" customHeight="1">
      <c r="A772" s="60"/>
      <c r="B772" s="72" t="s">
        <v>11</v>
      </c>
      <c r="C772" s="14" t="s">
        <v>2308</v>
      </c>
      <c r="D772" s="154"/>
      <c r="E772" s="14" t="s">
        <v>2309</v>
      </c>
      <c r="F772" s="154" t="str">
        <f>IF(wskakunin_kanri12_NAME="", "", wskakunin_kanri12_NAME)</f>
        <v/>
      </c>
      <c r="H772" s="17"/>
    </row>
    <row r="773" spans="1:8" ht="15" customHeight="1">
      <c r="A773" s="60"/>
      <c r="B773" s="72" t="s">
        <v>629</v>
      </c>
      <c r="C773" s="14" t="s">
        <v>2310</v>
      </c>
      <c r="D773" s="154"/>
      <c r="E773" s="14" t="s">
        <v>2311</v>
      </c>
      <c r="F773" s="154" t="str">
        <f>IF(wskakunin_kanri12_JIMU__sikaku="", "", wskakunin_kanri12_JIMU__sikaku)</f>
        <v/>
      </c>
      <c r="H773" s="17"/>
    </row>
    <row r="774" spans="1:8" ht="15" customHeight="1">
      <c r="A774" s="44"/>
      <c r="B774" s="78" t="s">
        <v>121</v>
      </c>
      <c r="C774" s="14" t="s">
        <v>2312</v>
      </c>
      <c r="D774" s="154"/>
      <c r="E774" s="14" t="s">
        <v>2313</v>
      </c>
      <c r="F774" s="154" t="str">
        <f>IF(wskakunin_kanri12_JIMU_SIKAKU__label="","",wskakunin_kanri12_JIMU_SIKAKU__label)</f>
        <v/>
      </c>
      <c r="H774" s="17"/>
    </row>
    <row r="775" spans="1:8" ht="15" customHeight="1">
      <c r="A775" s="44"/>
      <c r="B775" s="78" t="s">
        <v>630</v>
      </c>
      <c r="C775" s="14" t="s">
        <v>2314</v>
      </c>
      <c r="D775" s="154"/>
      <c r="E775" s="14" t="s">
        <v>2315</v>
      </c>
      <c r="F775" s="154" t="str">
        <f>IF(wskakunin_kanri12_JIMU_TOUROKU_KIKAN__label="","",wskakunin_kanri12_JIMU_TOUROKU_KIKAN__label)</f>
        <v/>
      </c>
      <c r="H775" s="17"/>
    </row>
    <row r="776" spans="1:8" ht="15" customHeight="1">
      <c r="A776" s="44"/>
      <c r="B776" s="78" t="s">
        <v>631</v>
      </c>
      <c r="C776" s="14" t="s">
        <v>2316</v>
      </c>
      <c r="D776" s="240"/>
      <c r="E776" s="14" t="s">
        <v>2317</v>
      </c>
      <c r="F776" s="154" t="str">
        <f>IF(wskakunin_kanri12_JIMU_NO="","",wskakunin_kanri12_JIMU_NO)</f>
        <v/>
      </c>
      <c r="H776" s="17"/>
    </row>
    <row r="777" spans="1:8" ht="15" customHeight="1">
      <c r="A777" s="60"/>
      <c r="B777" s="72" t="s">
        <v>122</v>
      </c>
      <c r="C777" s="14" t="s">
        <v>2318</v>
      </c>
      <c r="D777" s="154"/>
      <c r="E777" s="14" t="s">
        <v>2319</v>
      </c>
      <c r="F777" s="154" t="str">
        <f>IF(wskakunin_kanri12_JIMU_NAME="", "", wskakunin_kanri12_JIMU_NAME)</f>
        <v/>
      </c>
      <c r="H777" s="17"/>
    </row>
    <row r="778" spans="1:8" ht="15" customHeight="1">
      <c r="A778" s="60"/>
      <c r="B778" s="72" t="s">
        <v>12</v>
      </c>
      <c r="C778" s="14" t="s">
        <v>2320</v>
      </c>
      <c r="D778" s="240"/>
      <c r="E778" s="14" t="s">
        <v>2321</v>
      </c>
      <c r="F778" s="154" t="str">
        <f>IF(wskakunin_kanri12_ZIP="", "", wskakunin_kanri12_ZIP)</f>
        <v/>
      </c>
      <c r="H778" s="17"/>
    </row>
    <row r="779" spans="1:8" ht="15" customHeight="1">
      <c r="A779" s="60"/>
      <c r="B779" s="72" t="s">
        <v>17</v>
      </c>
      <c r="C779" s="14" t="s">
        <v>2322</v>
      </c>
      <c r="D779" s="154"/>
      <c r="E779" s="14" t="s">
        <v>2323</v>
      </c>
      <c r="F779" s="154" t="str">
        <f>IF(wskakunin_kanri12__address="", "", wskakunin_kanri12__address)</f>
        <v/>
      </c>
      <c r="H779" s="17"/>
    </row>
    <row r="780" spans="1:8" ht="15" customHeight="1">
      <c r="A780" s="60"/>
      <c r="B780" s="72" t="s">
        <v>14</v>
      </c>
      <c r="C780" s="14" t="s">
        <v>2324</v>
      </c>
      <c r="D780" s="240"/>
      <c r="E780" s="14" t="s">
        <v>2325</v>
      </c>
      <c r="F780" s="154" t="str">
        <f>IF(wskakunin_kanri12_TEL="", "", wskakunin_kanri12_TEL)</f>
        <v/>
      </c>
      <c r="H780" s="17"/>
    </row>
    <row r="781" spans="1:8" ht="15" customHeight="1">
      <c r="A781" s="60"/>
      <c r="B781" s="72" t="s">
        <v>666</v>
      </c>
      <c r="C781" s="14" t="s">
        <v>2326</v>
      </c>
      <c r="D781" s="240"/>
      <c r="E781" s="14" t="s">
        <v>2327</v>
      </c>
      <c r="F781" s="154" t="str">
        <f>IF(wskakunin_kanri12_DOC="","",wskakunin_kanri12_DOC)</f>
        <v/>
      </c>
      <c r="H781" s="17"/>
    </row>
    <row r="782" spans="1:8" ht="15" customHeight="1">
      <c r="A782" s="44"/>
      <c r="B782" s="75"/>
      <c r="G782" s="17"/>
      <c r="H782" s="17"/>
    </row>
    <row r="783" spans="1:8" ht="15" customHeight="1">
      <c r="A783" s="52" t="s">
        <v>129</v>
      </c>
      <c r="B783" s="53"/>
      <c r="D783" s="17"/>
      <c r="G783" s="17"/>
      <c r="H783" s="17"/>
    </row>
    <row r="784" spans="1:8" ht="15" customHeight="1">
      <c r="A784" s="61"/>
      <c r="B784" s="77" t="s">
        <v>11</v>
      </c>
      <c r="C784" s="14" t="s">
        <v>945</v>
      </c>
      <c r="D784" s="246" t="s">
        <v>3287</v>
      </c>
      <c r="E784" s="14" t="s">
        <v>946</v>
      </c>
      <c r="F784" s="246" t="str">
        <f>IF(wskakunin_sekou1_NAME="", "", wskakunin_sekou1_NAME)</f>
        <v>代表取締役　山田　耕治</v>
      </c>
      <c r="G784" s="17"/>
      <c r="H784" s="17"/>
    </row>
    <row r="785" spans="1:8" ht="15" customHeight="1">
      <c r="A785" s="61"/>
      <c r="B785" s="77" t="s">
        <v>1471</v>
      </c>
      <c r="C785" s="14" t="s">
        <v>947</v>
      </c>
      <c r="D785" s="246" t="s">
        <v>3288</v>
      </c>
      <c r="E785" s="14" t="s">
        <v>948</v>
      </c>
      <c r="F785" s="246" t="str">
        <f>IF(wskakunin_sekou1_SEKOU__sikaku="", "", wskakunin_sekou1_SEKOU__sikaku)</f>
        <v>静岡県知事第(般-4)5640号</v>
      </c>
      <c r="G785" s="17"/>
      <c r="H785" s="17"/>
    </row>
    <row r="786" spans="1:8" ht="15" customHeight="1">
      <c r="A786" s="61"/>
      <c r="B786" s="77" t="s">
        <v>679</v>
      </c>
      <c r="C786" s="14" t="s">
        <v>1474</v>
      </c>
      <c r="D786" s="246" t="s">
        <v>333</v>
      </c>
      <c r="E786" s="14" t="s">
        <v>1472</v>
      </c>
      <c r="F786" s="246" t="str">
        <f>IF(wskakunin_sekou1_SEKOU_SIKAKU__label="", "",wskakunin_sekou1_SEKOU_SIKAKU__label)</f>
        <v>静岡県知事</v>
      </c>
      <c r="G786" s="17"/>
      <c r="H786" s="17"/>
    </row>
    <row r="787" spans="1:8" ht="15" customHeight="1">
      <c r="A787" s="61"/>
      <c r="B787" s="77" t="s">
        <v>680</v>
      </c>
      <c r="C787" s="14" t="s">
        <v>1470</v>
      </c>
      <c r="D787" s="248" t="s">
        <v>3289</v>
      </c>
      <c r="E787" s="14" t="s">
        <v>1473</v>
      </c>
      <c r="F787" s="246" t="str">
        <f>IF(wskakunin_sekou1_SEKOU_NO="","",wskakunin_sekou1_SEKOU_NO)</f>
        <v>(般-4)5640</v>
      </c>
      <c r="G787" s="17"/>
      <c r="H787" s="17"/>
    </row>
    <row r="788" spans="1:8" ht="15" customHeight="1">
      <c r="A788" s="61"/>
      <c r="B788" s="77" t="s">
        <v>24</v>
      </c>
      <c r="C788" s="14" t="s">
        <v>949</v>
      </c>
      <c r="D788" s="246" t="s">
        <v>3286</v>
      </c>
      <c r="E788" s="14" t="s">
        <v>950</v>
      </c>
      <c r="F788" s="246" t="str">
        <f>IF(wskakunin_sekou1_JIMU_NAME="", "", wskakunin_sekou1_JIMU_NAME)</f>
        <v>株式会社　山田工務店</v>
      </c>
      <c r="G788" s="17"/>
      <c r="H788" s="17"/>
    </row>
    <row r="789" spans="1:8" ht="15" customHeight="1">
      <c r="A789" s="61"/>
      <c r="B789" s="77" t="s">
        <v>12</v>
      </c>
      <c r="C789" s="14" t="s">
        <v>951</v>
      </c>
      <c r="D789" s="248" t="s">
        <v>3276</v>
      </c>
      <c r="E789" s="14" t="s">
        <v>952</v>
      </c>
      <c r="F789" s="246" t="str">
        <f>IF(wskakunin_sekou1_ZIP="", "", wskakunin_sekou1_ZIP)</f>
        <v>425-0074</v>
      </c>
      <c r="G789" s="17"/>
      <c r="H789" s="17"/>
    </row>
    <row r="790" spans="1:8" ht="15" customHeight="1">
      <c r="A790" s="61"/>
      <c r="B790" s="77" t="s">
        <v>17</v>
      </c>
      <c r="C790" s="14" t="s">
        <v>953</v>
      </c>
      <c r="D790" s="246" t="s">
        <v>3268</v>
      </c>
      <c r="E790" s="14" t="s">
        <v>954</v>
      </c>
      <c r="F790" s="246" t="str">
        <f>IF(wskakunin_sekou1__address="", "", wskakunin_sekou1__address)</f>
        <v>静岡県焼津市柳新屋648-2</v>
      </c>
      <c r="G790" s="17"/>
      <c r="H790" s="17"/>
    </row>
    <row r="791" spans="1:8" ht="15" customHeight="1">
      <c r="A791" s="61"/>
      <c r="B791" s="77" t="s">
        <v>14</v>
      </c>
      <c r="C791" s="14" t="s">
        <v>955</v>
      </c>
      <c r="D791" s="248" t="s">
        <v>3290</v>
      </c>
      <c r="E791" s="14" t="s">
        <v>956</v>
      </c>
      <c r="F791" s="246" t="str">
        <f>IF(wskakunin_sekou1_TEL="", "", wskakunin_sekou1_TEL)</f>
        <v>054-621-3838</v>
      </c>
      <c r="G791" s="17"/>
      <c r="H791" s="17"/>
    </row>
    <row r="792" spans="1:8" ht="15" customHeight="1">
      <c r="A792" s="61"/>
      <c r="B792" s="77" t="s">
        <v>2657</v>
      </c>
      <c r="D792" s="34"/>
      <c r="E792" s="14" t="s">
        <v>2658</v>
      </c>
      <c r="F792" s="246">
        <f>IF(AND(cst_wskakunin_sekou1_NAME="",cst_wskakunin_sekou1_SEKOU__sikaku="",cst_wskakunin_sekou1_SEKOU_SIKAKU="",cst_wskakunin_sekou1_SEKOU_NO="",cst_wskakunin_sekou1_JIMU_NAME="",cst_wskakunin_sekou1_ZIP="",cst_wskakunin_sekou1__address="",cst_wskakunin_sekou1_TEL=""),1,2)</f>
        <v>2</v>
      </c>
      <c r="G792" s="17" t="s">
        <v>2659</v>
      </c>
      <c r="H792" s="17"/>
    </row>
    <row r="793" spans="1:8" ht="15" customHeight="1">
      <c r="A793" s="52" t="s">
        <v>2261</v>
      </c>
      <c r="B793" s="53"/>
      <c r="D793" s="34"/>
      <c r="F793" s="17"/>
      <c r="G793" s="17"/>
      <c r="H793" s="17"/>
    </row>
    <row r="794" spans="1:8" ht="15" customHeight="1">
      <c r="A794" s="61"/>
      <c r="B794" s="77" t="s">
        <v>11</v>
      </c>
      <c r="C794" s="14" t="s">
        <v>2181</v>
      </c>
      <c r="D794" s="246"/>
      <c r="E794" s="14" t="s">
        <v>2182</v>
      </c>
      <c r="F794" s="246" t="str">
        <f>IF(wskakunin_sekou2_NAME="", "", wskakunin_sekou2_NAME)</f>
        <v/>
      </c>
      <c r="H794" s="17"/>
    </row>
    <row r="795" spans="1:8" ht="15" customHeight="1">
      <c r="A795" s="61"/>
      <c r="B795" s="77" t="s">
        <v>1471</v>
      </c>
      <c r="C795" s="14" t="s">
        <v>2183</v>
      </c>
      <c r="D795" s="246"/>
      <c r="E795" s="14" t="s">
        <v>2184</v>
      </c>
      <c r="F795" s="246" t="str">
        <f>IF(wskakunin_sekou2_SEKOU__sikaku="", "", wskakunin_sekou2_SEKOU__sikaku)</f>
        <v/>
      </c>
      <c r="H795" s="17"/>
    </row>
    <row r="796" spans="1:8" ht="15" customHeight="1">
      <c r="A796" s="61"/>
      <c r="B796" s="77" t="s">
        <v>679</v>
      </c>
      <c r="C796" s="14" t="s">
        <v>2185</v>
      </c>
      <c r="D796" s="246"/>
      <c r="E796" s="14" t="s">
        <v>2186</v>
      </c>
      <c r="F796" s="246" t="str">
        <f>IF(wskakunin_sekou2_SEKOU_SIKAKU__label="", "",wskakunin_sekou2_SEKOU_SIKAKU__label)</f>
        <v/>
      </c>
      <c r="H796" s="17"/>
    </row>
    <row r="797" spans="1:8" ht="15" customHeight="1">
      <c r="A797" s="61"/>
      <c r="B797" s="77" t="s">
        <v>680</v>
      </c>
      <c r="C797" s="14" t="s">
        <v>2187</v>
      </c>
      <c r="D797" s="248"/>
      <c r="E797" s="14" t="s">
        <v>2188</v>
      </c>
      <c r="F797" s="246" t="str">
        <f>IF(wskakunin_sekou2_SEKOU_NO="","",wskakunin_sekou2_SEKOU_NO)</f>
        <v/>
      </c>
      <c r="H797" s="17"/>
    </row>
    <row r="798" spans="1:8" ht="15" customHeight="1">
      <c r="A798" s="61"/>
      <c r="B798" s="77" t="s">
        <v>24</v>
      </c>
      <c r="C798" s="14" t="s">
        <v>2189</v>
      </c>
      <c r="D798" s="246"/>
      <c r="E798" s="14" t="s">
        <v>2190</v>
      </c>
      <c r="F798" s="246" t="str">
        <f>IF(wskakunin_sekou2_JIMU_NAME="", "", wskakunin_sekou2_JIMU_NAME)</f>
        <v/>
      </c>
      <c r="H798" s="17"/>
    </row>
    <row r="799" spans="1:8" ht="15" customHeight="1">
      <c r="A799" s="61"/>
      <c r="B799" s="77" t="s">
        <v>12</v>
      </c>
      <c r="C799" s="14" t="s">
        <v>2191</v>
      </c>
      <c r="D799" s="248"/>
      <c r="E799" s="14" t="s">
        <v>2192</v>
      </c>
      <c r="F799" s="246" t="str">
        <f>IF(wskakunin_sekou2_ZIP="", "", wskakunin_sekou2_ZIP)</f>
        <v/>
      </c>
      <c r="H799" s="17"/>
    </row>
    <row r="800" spans="1:8" ht="15" customHeight="1">
      <c r="A800" s="61"/>
      <c r="B800" s="77" t="s">
        <v>17</v>
      </c>
      <c r="C800" s="14" t="s">
        <v>2193</v>
      </c>
      <c r="D800" s="246"/>
      <c r="E800" s="14" t="s">
        <v>2194</v>
      </c>
      <c r="F800" s="246" t="str">
        <f>IF(wskakunin_sekou2__address="", "", wskakunin_sekou2__address)</f>
        <v/>
      </c>
      <c r="H800" s="17"/>
    </row>
    <row r="801" spans="1:8" ht="15" customHeight="1">
      <c r="A801" s="61"/>
      <c r="B801" s="77" t="s">
        <v>14</v>
      </c>
      <c r="C801" s="14" t="s">
        <v>2195</v>
      </c>
      <c r="D801" s="248"/>
      <c r="E801" s="14" t="s">
        <v>2196</v>
      </c>
      <c r="F801" s="246" t="str">
        <f>IF(wskakunin_sekou2_TEL="", "", wskakunin_sekou2_TEL)</f>
        <v/>
      </c>
      <c r="H801" s="17"/>
    </row>
    <row r="802" spans="1:8" ht="15" customHeight="1">
      <c r="A802" s="61"/>
      <c r="B802" s="77"/>
      <c r="D802" s="34"/>
      <c r="F802" s="17"/>
      <c r="H802" s="17"/>
    </row>
    <row r="803" spans="1:8" ht="15" customHeight="1">
      <c r="A803" s="52" t="s">
        <v>2262</v>
      </c>
      <c r="B803" s="53"/>
      <c r="D803" s="34"/>
      <c r="F803" s="17"/>
      <c r="H803" s="17"/>
    </row>
    <row r="804" spans="1:8" ht="15" customHeight="1">
      <c r="A804" s="61"/>
      <c r="B804" s="77" t="s">
        <v>11</v>
      </c>
      <c r="C804" s="14" t="s">
        <v>2197</v>
      </c>
      <c r="D804" s="246"/>
      <c r="E804" s="14" t="s">
        <v>2198</v>
      </c>
      <c r="F804" s="246" t="str">
        <f>IF(wskakunin_sekou3_NAME="", "", wskakunin_sekou3_NAME)</f>
        <v/>
      </c>
      <c r="H804" s="17"/>
    </row>
    <row r="805" spans="1:8" ht="15" customHeight="1">
      <c r="A805" s="61"/>
      <c r="B805" s="77" t="s">
        <v>1471</v>
      </c>
      <c r="C805" s="14" t="s">
        <v>2199</v>
      </c>
      <c r="D805" s="246"/>
      <c r="E805" s="14" t="s">
        <v>2200</v>
      </c>
      <c r="F805" s="246" t="str">
        <f>IF(wskakunin_sekou3_SEKOU__sikaku="", "", wskakunin_sekou3_SEKOU__sikaku)</f>
        <v/>
      </c>
      <c r="H805" s="17"/>
    </row>
    <row r="806" spans="1:8" ht="15" customHeight="1">
      <c r="A806" s="61"/>
      <c r="B806" s="77" t="s">
        <v>679</v>
      </c>
      <c r="C806" s="14" t="s">
        <v>2201</v>
      </c>
      <c r="D806" s="246"/>
      <c r="E806" s="14" t="s">
        <v>2202</v>
      </c>
      <c r="F806" s="246" t="str">
        <f>IF(wskakunin_sekou3_SEKOU_SIKAKU__label="", "",wskakunin_sekou3_SEKOU_SIKAKU__label)</f>
        <v/>
      </c>
      <c r="H806" s="17"/>
    </row>
    <row r="807" spans="1:8" ht="15" customHeight="1">
      <c r="A807" s="61"/>
      <c r="B807" s="77" t="s">
        <v>680</v>
      </c>
      <c r="C807" s="14" t="s">
        <v>2203</v>
      </c>
      <c r="D807" s="248"/>
      <c r="E807" s="14" t="s">
        <v>2204</v>
      </c>
      <c r="F807" s="246" t="str">
        <f>IF(wskakunin_sekou3_SEKOU_NO="","",wskakunin_sekou3_SEKOU_NO)</f>
        <v/>
      </c>
      <c r="H807" s="17"/>
    </row>
    <row r="808" spans="1:8" ht="15" customHeight="1">
      <c r="A808" s="61"/>
      <c r="B808" s="77" t="s">
        <v>24</v>
      </c>
      <c r="C808" s="14" t="s">
        <v>2205</v>
      </c>
      <c r="D808" s="246"/>
      <c r="E808" s="14" t="s">
        <v>2206</v>
      </c>
      <c r="F808" s="246" t="str">
        <f>IF(wskakunin_sekou3_JIMU_NAME="", "", wskakunin_sekou3_JIMU_NAME)</f>
        <v/>
      </c>
      <c r="H808" s="17"/>
    </row>
    <row r="809" spans="1:8" ht="15" customHeight="1">
      <c r="A809" s="61"/>
      <c r="B809" s="77" t="s">
        <v>12</v>
      </c>
      <c r="C809" s="14" t="s">
        <v>2207</v>
      </c>
      <c r="D809" s="248"/>
      <c r="E809" s="14" t="s">
        <v>2208</v>
      </c>
      <c r="F809" s="246" t="str">
        <f>IF(wskakunin_sekou3_ZIP="", "", wskakunin_sekou3_ZIP)</f>
        <v/>
      </c>
      <c r="H809" s="17"/>
    </row>
    <row r="810" spans="1:8" ht="15" customHeight="1">
      <c r="A810" s="61"/>
      <c r="B810" s="77" t="s">
        <v>17</v>
      </c>
      <c r="C810" s="14" t="s">
        <v>2209</v>
      </c>
      <c r="D810" s="246"/>
      <c r="E810" s="14" t="s">
        <v>2210</v>
      </c>
      <c r="F810" s="246" t="str">
        <f>IF(wskakunin_sekou3__address="", "", wskakunin_sekou3__address)</f>
        <v/>
      </c>
      <c r="H810" s="17"/>
    </row>
    <row r="811" spans="1:8" ht="15" customHeight="1">
      <c r="A811" s="61"/>
      <c r="B811" s="77" t="s">
        <v>14</v>
      </c>
      <c r="C811" s="14" t="s">
        <v>2211</v>
      </c>
      <c r="D811" s="248"/>
      <c r="E811" s="14" t="s">
        <v>2212</v>
      </c>
      <c r="F811" s="246" t="str">
        <f>IF(wskakunin_sekou3_TEL="", "", wskakunin_sekou3_TEL)</f>
        <v/>
      </c>
      <c r="H811" s="17"/>
    </row>
    <row r="812" spans="1:8" ht="15" customHeight="1">
      <c r="A812" s="61"/>
      <c r="B812" s="77"/>
      <c r="D812" s="34"/>
      <c r="F812" s="17"/>
      <c r="H812" s="17"/>
    </row>
    <row r="813" spans="1:8" ht="15" customHeight="1">
      <c r="A813" s="52" t="s">
        <v>2263</v>
      </c>
      <c r="B813" s="53"/>
      <c r="D813" s="34"/>
      <c r="F813" s="17"/>
      <c r="H813" s="17"/>
    </row>
    <row r="814" spans="1:8" ht="15" customHeight="1">
      <c r="A814" s="61"/>
      <c r="B814" s="77" t="s">
        <v>11</v>
      </c>
      <c r="C814" s="14" t="s">
        <v>2213</v>
      </c>
      <c r="D814" s="246"/>
      <c r="E814" s="14" t="s">
        <v>2214</v>
      </c>
      <c r="F814" s="246" t="str">
        <f>IF(wskakunin_sekou4_NAME="", "", wskakunin_sekou4_NAME)</f>
        <v/>
      </c>
      <c r="H814" s="17"/>
    </row>
    <row r="815" spans="1:8" ht="15" customHeight="1">
      <c r="A815" s="61"/>
      <c r="B815" s="77" t="s">
        <v>1471</v>
      </c>
      <c r="C815" s="14" t="s">
        <v>2215</v>
      </c>
      <c r="D815" s="246"/>
      <c r="E815" s="14" t="s">
        <v>2216</v>
      </c>
      <c r="F815" s="246" t="str">
        <f>IF(wskakunin_sekou4_SEKOU__sikaku="", "", wskakunin_sekou4_SEKOU__sikaku)</f>
        <v/>
      </c>
      <c r="H815" s="17"/>
    </row>
    <row r="816" spans="1:8" ht="15" customHeight="1">
      <c r="A816" s="61"/>
      <c r="B816" s="77" t="s">
        <v>679</v>
      </c>
      <c r="C816" s="14" t="s">
        <v>2217</v>
      </c>
      <c r="D816" s="246"/>
      <c r="E816" s="14" t="s">
        <v>2218</v>
      </c>
      <c r="F816" s="246" t="str">
        <f>IF(wskakunin_sekou4_SEKOU_SIKAKU__label="", "",wskakunin_sekou4_SEKOU_SIKAKU__label)</f>
        <v/>
      </c>
      <c r="H816" s="17"/>
    </row>
    <row r="817" spans="1:8" ht="15" customHeight="1">
      <c r="A817" s="61"/>
      <c r="B817" s="77" t="s">
        <v>680</v>
      </c>
      <c r="C817" s="14" t="s">
        <v>2219</v>
      </c>
      <c r="D817" s="248"/>
      <c r="E817" s="14" t="s">
        <v>2220</v>
      </c>
      <c r="F817" s="246" t="str">
        <f>IF(wskakunin_sekou4_SEKOU_NO="","",wskakunin_sekou4_SEKOU_NO)</f>
        <v/>
      </c>
      <c r="H817" s="17"/>
    </row>
    <row r="818" spans="1:8" ht="15" customHeight="1">
      <c r="A818" s="61"/>
      <c r="B818" s="77" t="s">
        <v>24</v>
      </c>
      <c r="C818" s="14" t="s">
        <v>2221</v>
      </c>
      <c r="D818" s="246"/>
      <c r="E818" s="14" t="s">
        <v>2222</v>
      </c>
      <c r="F818" s="246" t="str">
        <f>IF(wskakunin_sekou4_JIMU_NAME="", "", wskakunin_sekou4_JIMU_NAME)</f>
        <v/>
      </c>
      <c r="H818" s="17"/>
    </row>
    <row r="819" spans="1:8" ht="15" customHeight="1">
      <c r="A819" s="61"/>
      <c r="B819" s="77" t="s">
        <v>12</v>
      </c>
      <c r="C819" s="14" t="s">
        <v>2223</v>
      </c>
      <c r="D819" s="248"/>
      <c r="E819" s="14" t="s">
        <v>2224</v>
      </c>
      <c r="F819" s="246" t="str">
        <f>IF(wskakunin_sekou4_ZIP="", "", wskakunin_sekou4_ZIP)</f>
        <v/>
      </c>
      <c r="H819" s="17"/>
    </row>
    <row r="820" spans="1:8" ht="15" customHeight="1">
      <c r="A820" s="61"/>
      <c r="B820" s="77" t="s">
        <v>17</v>
      </c>
      <c r="C820" s="14" t="s">
        <v>2225</v>
      </c>
      <c r="D820" s="246"/>
      <c r="E820" s="14" t="s">
        <v>2226</v>
      </c>
      <c r="F820" s="246" t="str">
        <f>IF(wskakunin_sekou4__address="", "", wskakunin_sekou4__address)</f>
        <v/>
      </c>
      <c r="H820" s="17"/>
    </row>
    <row r="821" spans="1:8" ht="15" customHeight="1">
      <c r="A821" s="61"/>
      <c r="B821" s="77" t="s">
        <v>14</v>
      </c>
      <c r="C821" s="14" t="s">
        <v>2227</v>
      </c>
      <c r="D821" s="248"/>
      <c r="E821" s="14" t="s">
        <v>2228</v>
      </c>
      <c r="F821" s="246" t="str">
        <f>IF(wskakunin_sekou4_TEL="", "", wskakunin_sekou4_TEL)</f>
        <v/>
      </c>
      <c r="H821" s="17"/>
    </row>
    <row r="822" spans="1:8" ht="15" customHeight="1">
      <c r="A822" s="61"/>
      <c r="B822" s="77"/>
      <c r="D822" s="34"/>
      <c r="F822" s="17"/>
      <c r="H822" s="17"/>
    </row>
    <row r="823" spans="1:8" ht="15" customHeight="1">
      <c r="A823" s="52" t="s">
        <v>2264</v>
      </c>
      <c r="B823" s="53"/>
      <c r="D823" s="34"/>
      <c r="F823" s="17"/>
      <c r="H823" s="17"/>
    </row>
    <row r="824" spans="1:8" ht="15" customHeight="1">
      <c r="A824" s="61"/>
      <c r="B824" s="77" t="s">
        <v>11</v>
      </c>
      <c r="C824" s="14" t="s">
        <v>2229</v>
      </c>
      <c r="D824" s="246"/>
      <c r="E824" s="14" t="s">
        <v>2230</v>
      </c>
      <c r="F824" s="246" t="str">
        <f>IF(wskakunin_sekou5_NAME="", "", wskakunin_sekou5_NAME)</f>
        <v/>
      </c>
      <c r="H824" s="17"/>
    </row>
    <row r="825" spans="1:8" ht="15" customHeight="1">
      <c r="A825" s="61"/>
      <c r="B825" s="77" t="s">
        <v>1471</v>
      </c>
      <c r="C825" s="14" t="s">
        <v>2231</v>
      </c>
      <c r="D825" s="246"/>
      <c r="E825" s="14" t="s">
        <v>2232</v>
      </c>
      <c r="F825" s="246" t="str">
        <f>IF(wskakunin_sekou5_SEKOU__sikaku="", "", wskakunin_sekou5_SEKOU__sikaku)</f>
        <v/>
      </c>
      <c r="H825" s="17"/>
    </row>
    <row r="826" spans="1:8" ht="15" customHeight="1">
      <c r="A826" s="61"/>
      <c r="B826" s="77" t="s">
        <v>679</v>
      </c>
      <c r="C826" s="14" t="s">
        <v>2233</v>
      </c>
      <c r="D826" s="246"/>
      <c r="E826" s="14" t="s">
        <v>2234</v>
      </c>
      <c r="F826" s="246" t="str">
        <f>IF(wskakunin_sekou5_SEKOU_SIKAKU__label="", "",wskakunin_sekou5_SEKOU_SIKAKU__label)</f>
        <v/>
      </c>
      <c r="H826" s="17"/>
    </row>
    <row r="827" spans="1:8" ht="15" customHeight="1">
      <c r="A827" s="61"/>
      <c r="B827" s="77" t="s">
        <v>680</v>
      </c>
      <c r="C827" s="14" t="s">
        <v>2235</v>
      </c>
      <c r="D827" s="248"/>
      <c r="E827" s="14" t="s">
        <v>2236</v>
      </c>
      <c r="F827" s="246" t="str">
        <f>IF(wskakunin_sekou5_SEKOU_NO="","",wskakunin_sekou5_SEKOU_NO)</f>
        <v/>
      </c>
      <c r="H827" s="17"/>
    </row>
    <row r="828" spans="1:8" ht="15" customHeight="1">
      <c r="A828" s="61"/>
      <c r="B828" s="77" t="s">
        <v>24</v>
      </c>
      <c r="C828" s="14" t="s">
        <v>2237</v>
      </c>
      <c r="D828" s="246"/>
      <c r="E828" s="14" t="s">
        <v>2238</v>
      </c>
      <c r="F828" s="246" t="str">
        <f>IF(wskakunin_sekou5_JIMU_NAME="", "", wskakunin_sekou5_JIMU_NAME)</f>
        <v/>
      </c>
      <c r="H828" s="17"/>
    </row>
    <row r="829" spans="1:8" ht="15" customHeight="1">
      <c r="A829" s="61"/>
      <c r="B829" s="77" t="s">
        <v>12</v>
      </c>
      <c r="C829" s="14" t="s">
        <v>2239</v>
      </c>
      <c r="D829" s="248"/>
      <c r="E829" s="14" t="s">
        <v>2240</v>
      </c>
      <c r="F829" s="246" t="str">
        <f>IF(wskakunin_sekou5_ZIP="", "", wskakunin_sekou5_ZIP)</f>
        <v/>
      </c>
      <c r="H829" s="17"/>
    </row>
    <row r="830" spans="1:8" ht="15" customHeight="1">
      <c r="A830" s="61"/>
      <c r="B830" s="77" t="s">
        <v>17</v>
      </c>
      <c r="C830" s="14" t="s">
        <v>2241</v>
      </c>
      <c r="D830" s="246"/>
      <c r="E830" s="14" t="s">
        <v>2242</v>
      </c>
      <c r="F830" s="246" t="str">
        <f>IF(wskakunin_sekou5__address="", "", wskakunin_sekou5__address)</f>
        <v/>
      </c>
      <c r="H830" s="17"/>
    </row>
    <row r="831" spans="1:8" ht="15" customHeight="1">
      <c r="A831" s="61"/>
      <c r="B831" s="77" t="s">
        <v>14</v>
      </c>
      <c r="C831" s="14" t="s">
        <v>2243</v>
      </c>
      <c r="D831" s="248"/>
      <c r="E831" s="14" t="s">
        <v>2244</v>
      </c>
      <c r="F831" s="246" t="str">
        <f>IF(wskakunin_sekou5_TEL="", "", wskakunin_sekou5_TEL)</f>
        <v/>
      </c>
      <c r="H831" s="17"/>
    </row>
    <row r="832" spans="1:8" ht="15" customHeight="1">
      <c r="A832" s="61"/>
      <c r="B832" s="77"/>
      <c r="D832" s="34"/>
      <c r="F832" s="17"/>
      <c r="H832" s="17"/>
    </row>
    <row r="833" spans="1:8" ht="15" customHeight="1">
      <c r="A833" s="52" t="s">
        <v>2265</v>
      </c>
      <c r="B833" s="53"/>
      <c r="D833" s="34"/>
      <c r="F833" s="17"/>
      <c r="H833" s="17"/>
    </row>
    <row r="834" spans="1:8" ht="15" customHeight="1">
      <c r="A834" s="61"/>
      <c r="B834" s="77" t="s">
        <v>11</v>
      </c>
      <c r="C834" s="14" t="s">
        <v>2245</v>
      </c>
      <c r="D834" s="246"/>
      <c r="E834" s="14" t="s">
        <v>2246</v>
      </c>
      <c r="F834" s="246" t="str">
        <f>IF(wskakunin_sekou6_NAME="", "", wskakunin_sekou6_NAME)</f>
        <v/>
      </c>
      <c r="H834" s="17"/>
    </row>
    <row r="835" spans="1:8" ht="15" customHeight="1">
      <c r="A835" s="61"/>
      <c r="B835" s="77" t="s">
        <v>1471</v>
      </c>
      <c r="C835" s="14" t="s">
        <v>2247</v>
      </c>
      <c r="D835" s="246"/>
      <c r="E835" s="14" t="s">
        <v>2248</v>
      </c>
      <c r="F835" s="246" t="str">
        <f>IF(wskakunin_sekou6_SEKOU__sikaku="", "", wskakunin_sekou6_SEKOU__sikaku)</f>
        <v/>
      </c>
      <c r="H835" s="17"/>
    </row>
    <row r="836" spans="1:8" ht="15" customHeight="1">
      <c r="A836" s="61"/>
      <c r="B836" s="77" t="s">
        <v>679</v>
      </c>
      <c r="C836" s="14" t="s">
        <v>2249</v>
      </c>
      <c r="D836" s="246"/>
      <c r="E836" s="14" t="s">
        <v>2250</v>
      </c>
      <c r="F836" s="246" t="str">
        <f>IF(wskakunin_sekou6_SEKOU_SIKAKU__label="", "",wskakunin_sekou6_SEKOU_SIKAKU__label)</f>
        <v/>
      </c>
      <c r="H836" s="17"/>
    </row>
    <row r="837" spans="1:8" ht="15" customHeight="1">
      <c r="A837" s="61"/>
      <c r="B837" s="77" t="s">
        <v>680</v>
      </c>
      <c r="C837" s="14" t="s">
        <v>2251</v>
      </c>
      <c r="D837" s="248"/>
      <c r="E837" s="14" t="s">
        <v>2252</v>
      </c>
      <c r="F837" s="246" t="str">
        <f>IF(wskakunin_sekou6_SEKOU_NO="","",wskakunin_sekou6_SEKOU_NO)</f>
        <v/>
      </c>
      <c r="H837" s="17"/>
    </row>
    <row r="838" spans="1:8" ht="15" customHeight="1">
      <c r="A838" s="61"/>
      <c r="B838" s="77" t="s">
        <v>24</v>
      </c>
      <c r="C838" s="14" t="s">
        <v>2253</v>
      </c>
      <c r="D838" s="246"/>
      <c r="E838" s="14" t="s">
        <v>2254</v>
      </c>
      <c r="F838" s="246" t="str">
        <f>IF(wskakunin_sekou6_JIMU_NAME="", "", wskakunin_sekou6_JIMU_NAME)</f>
        <v/>
      </c>
      <c r="H838" s="17"/>
    </row>
    <row r="839" spans="1:8" ht="15" customHeight="1">
      <c r="A839" s="61"/>
      <c r="B839" s="77" t="s">
        <v>12</v>
      </c>
      <c r="C839" s="14" t="s">
        <v>2255</v>
      </c>
      <c r="D839" s="248"/>
      <c r="E839" s="14" t="s">
        <v>2256</v>
      </c>
      <c r="F839" s="246" t="str">
        <f>IF(wskakunin_sekou6_ZIP="", "", wskakunin_sekou6_ZIP)</f>
        <v/>
      </c>
      <c r="H839" s="17"/>
    </row>
    <row r="840" spans="1:8" ht="15" customHeight="1">
      <c r="A840" s="61"/>
      <c r="B840" s="77" t="s">
        <v>17</v>
      </c>
      <c r="C840" s="14" t="s">
        <v>2257</v>
      </c>
      <c r="D840" s="246"/>
      <c r="E840" s="14" t="s">
        <v>2258</v>
      </c>
      <c r="F840" s="246" t="str">
        <f>IF(wskakunin_sekou6__address="", "", wskakunin_sekou6__address)</f>
        <v/>
      </c>
      <c r="H840" s="17"/>
    </row>
    <row r="841" spans="1:8" ht="15" customHeight="1">
      <c r="A841" s="61"/>
      <c r="B841" s="77" t="s">
        <v>14</v>
      </c>
      <c r="C841" s="14" t="s">
        <v>2259</v>
      </c>
      <c r="D841" s="248"/>
      <c r="E841" s="14" t="s">
        <v>2260</v>
      </c>
      <c r="F841" s="246" t="str">
        <f>IF(wskakunin_sekou6_TEL="", "", wskakunin_sekou6_TEL)</f>
        <v/>
      </c>
      <c r="H841" s="17"/>
    </row>
    <row r="842" spans="1:8" ht="15" customHeight="1">
      <c r="A842" s="61"/>
      <c r="B842" s="77"/>
      <c r="D842" s="34"/>
      <c r="F842" s="17"/>
      <c r="G842" s="17"/>
      <c r="H842" s="17"/>
    </row>
    <row r="843" spans="1:8" ht="15" customHeight="1">
      <c r="A843" s="64" t="s">
        <v>702</v>
      </c>
      <c r="B843" s="59"/>
      <c r="D843" s="34"/>
      <c r="F843" s="17"/>
      <c r="G843" s="17"/>
      <c r="H843" s="17"/>
    </row>
    <row r="844" spans="1:8" ht="15" customHeight="1">
      <c r="A844" s="61"/>
      <c r="B844" s="54" t="s">
        <v>957</v>
      </c>
      <c r="D844" s="17"/>
      <c r="E844" s="14" t="s">
        <v>958</v>
      </c>
      <c r="F844" s="246" t="b">
        <f>IF(ISERROR(FIND("一建設", cst_wskakunin_sekou1_JIMU_NAME)), FALSE, FIND("一建設", cst_wskakunin_sekou1_JIMU_NAME)=1)</f>
        <v>0</v>
      </c>
      <c r="G844" s="17" t="s">
        <v>959</v>
      </c>
    </row>
    <row r="845" spans="1:8" ht="15" customHeight="1">
      <c r="A845" s="61"/>
      <c r="B845" s="55" t="s">
        <v>960</v>
      </c>
      <c r="D845" s="17"/>
      <c r="E845" s="14" t="s">
        <v>961</v>
      </c>
      <c r="F845" s="246">
        <f>IF(ISERROR(FIND("ケイアイスター不動産", cst_wskakunin_sekou1_JIMU_NAME)), 0, 1)</f>
        <v>0</v>
      </c>
      <c r="G845" s="17"/>
      <c r="H845" s="17"/>
    </row>
    <row r="846" spans="1:8" ht="15" customHeight="1">
      <c r="A846" s="62"/>
      <c r="B846" s="56"/>
      <c r="D846" s="17"/>
      <c r="F846" s="17"/>
      <c r="G846" s="17"/>
      <c r="H846" s="17"/>
    </row>
    <row r="847" spans="1:8" ht="15" customHeight="1">
      <c r="A847" s="46" t="s">
        <v>130</v>
      </c>
      <c r="B847" s="47"/>
      <c r="C847" s="14" t="s">
        <v>962</v>
      </c>
      <c r="D847" s="154" t="s">
        <v>3266</v>
      </c>
      <c r="E847" s="14" t="s">
        <v>963</v>
      </c>
      <c r="F847" s="154" t="str">
        <f>IF(wskakunin_BUILD_NAME="", "",wskakunin_BUILD_NAME)</f>
        <v>菅野　幸子　様邸　新築工事</v>
      </c>
      <c r="G847" s="17"/>
      <c r="H847" s="17"/>
    </row>
    <row r="848" spans="1:8" ht="15" customHeight="1">
      <c r="A848" s="51"/>
      <c r="B848" s="63" t="s">
        <v>124</v>
      </c>
      <c r="C848" s="14" t="s">
        <v>2696</v>
      </c>
      <c r="D848" s="254" t="s">
        <v>3267</v>
      </c>
      <c r="E848" s="14" t="s">
        <v>2761</v>
      </c>
      <c r="F848" s="254" t="str">
        <f>IF(wskakunin_BUILD_NAME_KANA="","",wskakunin_BUILD_NAME_KANA)</f>
        <v>スガノ サチコ サマテイ シンチクコウジ</v>
      </c>
      <c r="G848" s="17"/>
      <c r="H848" s="17"/>
    </row>
    <row r="849" spans="1:8" ht="15" customHeight="1">
      <c r="A849" s="99" t="s">
        <v>2331</v>
      </c>
      <c r="B849" s="100"/>
      <c r="C849" s="14" t="s">
        <v>2332</v>
      </c>
      <c r="D849" s="154"/>
      <c r="E849" s="14" t="s">
        <v>2333</v>
      </c>
      <c r="F849" s="154" t="str">
        <f>IF(wskakunin_P2_BIKOU="","",wskakunin_P2_BIKOU)</f>
        <v/>
      </c>
    </row>
    <row r="850" spans="1:8" ht="15" customHeight="1">
      <c r="A850" s="51"/>
      <c r="B850" s="63"/>
    </row>
    <row r="852" spans="1:8" ht="15" customHeight="1">
      <c r="A852" s="48" t="s">
        <v>618</v>
      </c>
      <c r="B852" s="49"/>
      <c r="G852" s="17"/>
      <c r="H852" s="17"/>
    </row>
    <row r="853" spans="1:8" ht="15" customHeight="1">
      <c r="A853" s="50"/>
      <c r="B853" s="75" t="s">
        <v>964</v>
      </c>
      <c r="C853" s="14" t="s">
        <v>965</v>
      </c>
      <c r="D853" s="154"/>
      <c r="G853" s="17"/>
      <c r="H853" s="17"/>
    </row>
    <row r="854" spans="1:8" ht="15" customHeight="1">
      <c r="A854" s="50"/>
      <c r="B854" s="74" t="s">
        <v>966</v>
      </c>
      <c r="E854" s="14" t="s">
        <v>967</v>
      </c>
      <c r="F854" s="44" t="str">
        <f>IF(wskakunin_tekihan01_TEKIHAN_STATE=1,"■","□")</f>
        <v>□</v>
      </c>
      <c r="G854" s="17"/>
      <c r="H854" s="17"/>
    </row>
    <row r="855" spans="1:8" ht="15" customHeight="1">
      <c r="A855" s="50"/>
      <c r="B855" s="74" t="s">
        <v>681</v>
      </c>
      <c r="E855" s="14" t="s">
        <v>690</v>
      </c>
      <c r="F855" s="44" t="str">
        <f>IF(wskakunin_tekihan01_TEKIHAN_STATE=2,"■","□")</f>
        <v>□</v>
      </c>
      <c r="G855" s="17"/>
      <c r="H855" s="17"/>
    </row>
    <row r="856" spans="1:8" ht="15" customHeight="1">
      <c r="A856" s="50"/>
      <c r="B856" s="74" t="s">
        <v>682</v>
      </c>
      <c r="E856" s="14" t="s">
        <v>691</v>
      </c>
      <c r="F856" s="44" t="str">
        <f>IF(wskakunin_tekihan01_TEKIHAN_STATE=3,"■","□")</f>
        <v>□</v>
      </c>
      <c r="G856" s="17"/>
      <c r="H856" s="17"/>
    </row>
    <row r="857" spans="1:8" ht="15" customHeight="1">
      <c r="A857" s="50"/>
      <c r="B857" s="75" t="s">
        <v>619</v>
      </c>
      <c r="C857" s="14" t="s">
        <v>968</v>
      </c>
      <c r="D857" s="154"/>
      <c r="E857" s="14" t="s">
        <v>969</v>
      </c>
      <c r="F857" s="44" t="str">
        <f>IF(wskakunin_tekihan01_TEKIHAN_KIKAN_NAME="","",wskakunin_tekihan01_TEKIHAN_KIKAN_NAME)</f>
        <v/>
      </c>
      <c r="G857" s="17"/>
      <c r="H857" s="17"/>
    </row>
    <row r="858" spans="1:8" ht="15" customHeight="1">
      <c r="A858" s="50"/>
      <c r="B858" s="75" t="s">
        <v>620</v>
      </c>
      <c r="C858" s="14" t="s">
        <v>970</v>
      </c>
      <c r="D858" s="154"/>
      <c r="E858" s="14" t="s">
        <v>971</v>
      </c>
      <c r="F858" s="44" t="str">
        <f>IF(wskakunin_tekihan01_TEKIHAN_KIKAN_KEN__ken="","",wskakunin_tekihan01_TEKIHAN_KIKAN_KEN__ken)</f>
        <v/>
      </c>
      <c r="G858" s="17"/>
      <c r="H858" s="17"/>
    </row>
    <row r="859" spans="1:8" ht="15" customHeight="1">
      <c r="A859" s="50"/>
      <c r="B859" s="75" t="s">
        <v>621</v>
      </c>
      <c r="C859" s="14" t="s">
        <v>972</v>
      </c>
      <c r="D859" s="154"/>
      <c r="E859" s="14" t="s">
        <v>973</v>
      </c>
      <c r="F859" s="44" t="str">
        <f>IF(wskakunin_tekihan01_TEKIHAN_KIKAN_ADDRESS="","",wskakunin_tekihan01_TEKIHAN_KIKAN_ADDRESS)</f>
        <v/>
      </c>
      <c r="G859" s="17"/>
      <c r="H859" s="17"/>
    </row>
    <row r="860" spans="1:8" ht="15" customHeight="1">
      <c r="A860" s="50"/>
      <c r="B860" s="75" t="s">
        <v>692</v>
      </c>
      <c r="D860" s="154"/>
      <c r="E860" s="14" t="s">
        <v>974</v>
      </c>
      <c r="F860" s="44" t="str">
        <f>cst_wskakunin_tekihan01_TEKIHAN_KIKAN_NAME&amp;IF(OR(cst_wskakunin_tekihan01_TEKIHAN_KIKAN_KEN__ken&lt;&gt;"",cst_wskakunin_tekihan01_TEKIHAN_KIKAN_ADDRESS&lt;&gt;""),"  ","")&amp;cst_wskakunin_tekihan01_TEKIHAN_KIKAN_KEN__ken&amp;cst_wskakunin_tekihan01_TEKIHAN_KIKAN_ADDRESS</f>
        <v/>
      </c>
      <c r="G860" s="17"/>
      <c r="H860" s="17"/>
    </row>
    <row r="861" spans="1:8" ht="15" customHeight="1">
      <c r="A861" s="50"/>
      <c r="B861" s="75" t="s">
        <v>619</v>
      </c>
      <c r="C861" s="14" t="s">
        <v>975</v>
      </c>
      <c r="D861" s="154"/>
      <c r="E861" s="14" t="s">
        <v>976</v>
      </c>
      <c r="F861" s="44" t="str">
        <f>IF(wskakunin_tekihan02_TEKIHAN_KIKAN_NAME="","",wskakunin_tekihan02_TEKIHAN_KIKAN_NAME)</f>
        <v/>
      </c>
      <c r="G861" s="17"/>
      <c r="H861" s="17"/>
    </row>
    <row r="862" spans="1:8" ht="15" customHeight="1">
      <c r="A862" s="50"/>
      <c r="B862" s="75" t="s">
        <v>620</v>
      </c>
      <c r="C862" s="14" t="s">
        <v>977</v>
      </c>
      <c r="D862" s="154"/>
      <c r="E862" s="14" t="s">
        <v>978</v>
      </c>
      <c r="F862" s="44" t="str">
        <f>IF(wskakunin_tekihan02_TEKIHAN_KIKAN_KEN__ken="","",wskakunin_tekihan02_TEKIHAN_KIKAN_KEN__ken)</f>
        <v/>
      </c>
      <c r="G862" s="17"/>
      <c r="H862" s="17"/>
    </row>
    <row r="863" spans="1:8" ht="15" customHeight="1">
      <c r="A863" s="50"/>
      <c r="B863" s="75" t="s">
        <v>621</v>
      </c>
      <c r="C863" s="14" t="s">
        <v>979</v>
      </c>
      <c r="D863" s="154"/>
      <c r="E863" s="14" t="s">
        <v>980</v>
      </c>
      <c r="F863" s="44" t="str">
        <f>IF(wskakunin_tekihan02_TEKIHAN_KIKAN_ADDRESS="","",wskakunin_tekihan02_TEKIHAN_KIKAN_ADDRESS)</f>
        <v/>
      </c>
      <c r="G863" s="17"/>
      <c r="H863" s="17"/>
    </row>
    <row r="864" spans="1:8" ht="15" customHeight="1">
      <c r="A864" s="50"/>
      <c r="B864" s="75" t="s">
        <v>692</v>
      </c>
      <c r="D864" s="154"/>
      <c r="E864" s="14" t="s">
        <v>981</v>
      </c>
      <c r="F864" s="44" t="str">
        <f>cst_wskakunin_tekihan02_TEKIHAN_KIKAN_NAME&amp;IF(OR(cst_wskakunin_tekihan02_TEKIHAN_KIKAN_KEN__ken&lt;&gt;"",cst_wskakunin_tekihan02_TEKIHAN_KIKAN_ADDRESS&lt;&gt;""),"  ","")&amp;cst_wskakunin_tekihan02_TEKIHAN_KIKAN_KEN__ken&amp;cst_wskakunin_tekihan02_TEKIHAN_KIKAN_ADDRESS</f>
        <v/>
      </c>
      <c r="G864" s="17"/>
      <c r="H864" s="17"/>
    </row>
    <row r="865" spans="1:8" ht="15" customHeight="1">
      <c r="A865" s="50"/>
      <c r="B865" s="76"/>
      <c r="G865" s="17"/>
      <c r="H865" s="17"/>
    </row>
    <row r="866" spans="1:8" ht="15" customHeight="1">
      <c r="A866" s="48" t="s">
        <v>704</v>
      </c>
      <c r="B866" s="49"/>
      <c r="G866" s="17"/>
      <c r="H866" s="17"/>
    </row>
    <row r="867" spans="1:8" ht="15" customHeight="1">
      <c r="A867" s="50"/>
      <c r="B867" s="74" t="s">
        <v>622</v>
      </c>
      <c r="C867" s="14" t="s">
        <v>982</v>
      </c>
      <c r="D867" s="44"/>
      <c r="G867" s="17"/>
      <c r="H867" s="17"/>
    </row>
    <row r="868" spans="1:8" ht="15" customHeight="1">
      <c r="A868" s="50"/>
      <c r="B868" s="74" t="s">
        <v>683</v>
      </c>
      <c r="E868" s="14" t="s">
        <v>983</v>
      </c>
      <c r="F868" s="44" t="str">
        <f>IF(wskakunin_ecotekihan01_TEKIHAN_STATE=1,"■","□")</f>
        <v>□</v>
      </c>
      <c r="G868" s="17">
        <v>1</v>
      </c>
      <c r="H868" s="17"/>
    </row>
    <row r="869" spans="1:8" ht="15" customHeight="1">
      <c r="A869" s="50"/>
      <c r="B869" s="74" t="s">
        <v>684</v>
      </c>
      <c r="E869" s="14" t="s">
        <v>984</v>
      </c>
      <c r="F869" s="44" t="str">
        <f>IF(wskakunin_ecotekihan01_TEKIHAN_STATE=2,"■","□")</f>
        <v>□</v>
      </c>
      <c r="G869" s="17">
        <v>2</v>
      </c>
      <c r="H869" s="17"/>
    </row>
    <row r="870" spans="1:8" ht="15" customHeight="1">
      <c r="A870" s="50"/>
      <c r="B870" s="74" t="s">
        <v>685</v>
      </c>
      <c r="E870" s="14" t="s">
        <v>985</v>
      </c>
      <c r="F870" s="44" t="str">
        <f>IF(wskakunin_ecotekihan01_TEKIHAN_STATE=3,"■","□")</f>
        <v>□</v>
      </c>
      <c r="G870" s="17">
        <v>3</v>
      </c>
      <c r="H870" s="17"/>
    </row>
    <row r="871" spans="1:8" ht="15" customHeight="1">
      <c r="A871" s="50"/>
      <c r="B871" s="75" t="s">
        <v>619</v>
      </c>
      <c r="C871" s="14" t="s">
        <v>986</v>
      </c>
      <c r="D871" s="44"/>
      <c r="E871" s="14" t="s">
        <v>987</v>
      </c>
      <c r="F871" s="44" t="str">
        <f>IF(wskakunin_ecotekihan01_TEKIHAN_KIKAN_NAME="","",wskakunin_ecotekihan01_TEKIHAN_KIKAN_NAME)</f>
        <v/>
      </c>
      <c r="G871" s="17"/>
      <c r="H871" s="17"/>
    </row>
    <row r="872" spans="1:8" ht="15" customHeight="1">
      <c r="A872" s="50"/>
      <c r="B872" s="75" t="s">
        <v>620</v>
      </c>
      <c r="C872" s="14" t="s">
        <v>988</v>
      </c>
      <c r="D872" s="44"/>
      <c r="E872" s="14" t="s">
        <v>989</v>
      </c>
      <c r="F872" s="44" t="str">
        <f>IF(wskakunin_ecotekihan01_TEKIHAN_KIKAN_KEN__ken="","",wskakunin_ecotekihan01_TEKIHAN_KIKAN_KEN__ken)</f>
        <v/>
      </c>
      <c r="G872" s="17"/>
      <c r="H872" s="17"/>
    </row>
    <row r="873" spans="1:8" ht="15" customHeight="1">
      <c r="A873" s="50"/>
      <c r="B873" s="75" t="s">
        <v>621</v>
      </c>
      <c r="C873" s="14" t="s">
        <v>990</v>
      </c>
      <c r="D873" s="44"/>
      <c r="E873" s="14" t="s">
        <v>991</v>
      </c>
      <c r="F873" s="44" t="str">
        <f>IF(wskakunin_ecotekihan01_TEKIHAN_KIKAN_ADDRESS="","",wskakunin_ecotekihan01_TEKIHAN_KIKAN_ADDRESS)</f>
        <v/>
      </c>
      <c r="G873" s="17"/>
      <c r="H873" s="17"/>
    </row>
    <row r="874" spans="1:8" ht="15" customHeight="1">
      <c r="A874" s="50"/>
      <c r="B874" s="75"/>
      <c r="G874" s="17"/>
      <c r="H874" s="17"/>
    </row>
    <row r="875" spans="1:8" ht="15" customHeight="1">
      <c r="A875" s="50"/>
      <c r="B875" s="75" t="s">
        <v>705</v>
      </c>
      <c r="E875" s="14" t="s">
        <v>992</v>
      </c>
      <c r="F875" s="44"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75" s="17"/>
      <c r="H875" s="17"/>
    </row>
    <row r="876" spans="1:8" ht="15" customHeight="1">
      <c r="A876" s="50"/>
      <c r="B876" s="75" t="s">
        <v>706</v>
      </c>
      <c r="E876" s="14" t="s">
        <v>993</v>
      </c>
      <c r="F876" s="44"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76" s="17"/>
      <c r="H876" s="17"/>
    </row>
    <row r="877" spans="1:8" ht="15" customHeight="1">
      <c r="A877" s="50"/>
      <c r="B877" s="75" t="s">
        <v>695</v>
      </c>
      <c r="C877" s="14" t="s">
        <v>994</v>
      </c>
      <c r="D877" s="44"/>
      <c r="E877" s="14" t="s">
        <v>703</v>
      </c>
      <c r="F877" s="44" t="str">
        <f>IF(wskakunin_ecotekihan01_FUYOU_CAUSE="","",wskakunin_ecotekihan01_FUYOU_CAUSE)</f>
        <v/>
      </c>
      <c r="G877" s="17"/>
      <c r="H877" s="17"/>
    </row>
    <row r="878" spans="1:8" ht="15" customHeight="1">
      <c r="A878" s="51"/>
      <c r="B878" s="76"/>
      <c r="G878" s="17"/>
      <c r="H878" s="17"/>
    </row>
    <row r="879" spans="1:8" ht="15" customHeight="1">
      <c r="G879" s="17"/>
      <c r="H879" s="17"/>
    </row>
    <row r="880" spans="1:8" ht="15" customHeight="1">
      <c r="A880" s="52" t="s">
        <v>131</v>
      </c>
      <c r="B880" s="112"/>
      <c r="G880" s="17"/>
      <c r="H880" s="17"/>
    </row>
    <row r="881" spans="1:8" ht="15" customHeight="1">
      <c r="A881" s="210" t="s">
        <v>1267</v>
      </c>
      <c r="B881" s="77" t="s">
        <v>123</v>
      </c>
      <c r="C881" s="14" t="s">
        <v>995</v>
      </c>
      <c r="D881" s="246"/>
      <c r="E881" s="14" t="s">
        <v>996</v>
      </c>
      <c r="F881" s="246" t="str">
        <f>IF(wskakunin_p4_1_youto1_YOUTO="", "", wskakunin_p4_1_youto1_YOUTO)</f>
        <v/>
      </c>
      <c r="G881" s="17"/>
      <c r="H881" s="17"/>
    </row>
    <row r="882" spans="1:8" ht="15" customHeight="1">
      <c r="A882" s="113"/>
      <c r="B882" s="77" t="s">
        <v>997</v>
      </c>
      <c r="C882" s="14" t="s">
        <v>998</v>
      </c>
      <c r="D882" s="248"/>
      <c r="E882" s="14" t="s">
        <v>999</v>
      </c>
      <c r="F882" s="246" t="str">
        <f>IF(wskakunin_p4_1_youto1_YOUTO_CODE="","",wskakunin_p4_1_youto1_YOUTO_CODE)</f>
        <v/>
      </c>
      <c r="G882" s="17"/>
      <c r="H882" s="17"/>
    </row>
    <row r="883" spans="1:8" ht="15" customHeight="1">
      <c r="A883" s="113"/>
      <c r="B883" s="77" t="s">
        <v>54</v>
      </c>
      <c r="C883" s="106"/>
      <c r="D883" s="248"/>
      <c r="E883" s="14" t="s">
        <v>1000</v>
      </c>
      <c r="F883" s="246"/>
      <c r="G883" s="17"/>
      <c r="H883" s="17"/>
    </row>
    <row r="884" spans="1:8" ht="15" customHeight="1">
      <c r="A884" s="113"/>
      <c r="B884" s="77" t="s">
        <v>1001</v>
      </c>
      <c r="C884" s="106"/>
      <c r="D884" s="248"/>
      <c r="E884" s="14" t="s">
        <v>1002</v>
      </c>
      <c r="F884" s="246"/>
      <c r="G884" s="17"/>
      <c r="H884" s="17"/>
    </row>
    <row r="885" spans="1:8" ht="15" customHeight="1">
      <c r="A885" s="113"/>
      <c r="B885" s="77" t="s">
        <v>59</v>
      </c>
      <c r="C885" s="106"/>
      <c r="D885" s="248"/>
      <c r="E885" s="14" t="s">
        <v>1003</v>
      </c>
      <c r="F885" s="246"/>
      <c r="G885" s="17"/>
      <c r="H885" s="17"/>
    </row>
    <row r="886" spans="1:8" ht="15" customHeight="1">
      <c r="A886" s="113"/>
      <c r="B886" s="77" t="s">
        <v>61</v>
      </c>
      <c r="C886" s="106"/>
      <c r="D886" s="248"/>
      <c r="E886" s="14" t="s">
        <v>1004</v>
      </c>
      <c r="F886" s="246"/>
      <c r="G886" s="17"/>
      <c r="H886" s="17"/>
    </row>
    <row r="887" spans="1:8" ht="15" customHeight="1">
      <c r="A887" s="113"/>
      <c r="B887" s="77" t="s">
        <v>63</v>
      </c>
      <c r="C887" s="106"/>
      <c r="D887" s="248"/>
      <c r="E887" s="14" t="s">
        <v>1005</v>
      </c>
      <c r="F887" s="246"/>
      <c r="G887" s="17"/>
      <c r="H887" s="17"/>
    </row>
    <row r="888" spans="1:8" ht="15" customHeight="1">
      <c r="A888" s="113"/>
      <c r="B888" s="77" t="s">
        <v>65</v>
      </c>
      <c r="C888" s="106"/>
      <c r="D888" s="248"/>
      <c r="E888" s="14" t="s">
        <v>1006</v>
      </c>
      <c r="F888" s="246"/>
      <c r="G888" s="17"/>
      <c r="H888" s="17"/>
    </row>
    <row r="889" spans="1:8" ht="15" customHeight="1">
      <c r="A889" s="113"/>
      <c r="B889" s="77" t="s">
        <v>2</v>
      </c>
      <c r="C889" s="106"/>
      <c r="D889" s="248"/>
      <c r="E889" s="14" t="s">
        <v>1007</v>
      </c>
      <c r="F889" s="256" t="str">
        <f>IF(D882="08010","○","")</f>
        <v/>
      </c>
      <c r="G889" s="17"/>
      <c r="H889" s="17"/>
    </row>
    <row r="890" spans="1:8" ht="15" customHeight="1">
      <c r="A890" s="61"/>
      <c r="B890" s="77" t="s">
        <v>133</v>
      </c>
      <c r="C890" s="14" t="s">
        <v>1008</v>
      </c>
      <c r="D890" s="246"/>
      <c r="E890" s="14" t="s">
        <v>1009</v>
      </c>
      <c r="F890" s="246" t="str">
        <f>IF(wskakunin_p4_1__kouji="", "", wskakunin_p4_1__kouji)</f>
        <v/>
      </c>
      <c r="G890" s="17"/>
      <c r="H890" s="17"/>
    </row>
    <row r="891" spans="1:8" ht="15" customHeight="1">
      <c r="A891" s="61"/>
      <c r="B891" s="77" t="s">
        <v>134</v>
      </c>
      <c r="C891" s="14" t="s">
        <v>1010</v>
      </c>
      <c r="D891" s="246"/>
      <c r="E891" s="14" t="s">
        <v>1011</v>
      </c>
      <c r="F891" s="246" t="str">
        <f>IF(wskakunin_p4_1_KAISU_TIKAI_NOZOKU="", "", wskakunin_p4_1_KAISU_TIKAI_NOZOKU)</f>
        <v/>
      </c>
      <c r="G891" s="17"/>
      <c r="H891" s="17"/>
    </row>
    <row r="892" spans="1:8" ht="15" customHeight="1">
      <c r="A892" s="61"/>
      <c r="B892" s="77" t="s">
        <v>135</v>
      </c>
      <c r="C892" s="14" t="s">
        <v>1012</v>
      </c>
      <c r="D892" s="246"/>
      <c r="E892" s="14" t="s">
        <v>1013</v>
      </c>
      <c r="F892" s="246" t="str">
        <f>IF(wskakunin_p4_1_KAISU_TIKAI="", "", wskakunin_p4_1_KAISU_TIKAI)</f>
        <v/>
      </c>
      <c r="G892" s="17"/>
      <c r="H892" s="17"/>
    </row>
    <row r="893" spans="1:8" ht="15" customHeight="1">
      <c r="A893" s="61"/>
      <c r="B893" s="77" t="s">
        <v>136</v>
      </c>
      <c r="C893" s="14" t="s">
        <v>1014</v>
      </c>
      <c r="D893" s="246"/>
      <c r="E893" s="14" t="s">
        <v>1015</v>
      </c>
      <c r="F893" s="246" t="str">
        <f>IF(wskakunin_p4_1_KOUZOU1="", "", wskakunin_p4_1_KOUZOU1)</f>
        <v/>
      </c>
      <c r="G893" s="17"/>
      <c r="H893" s="17"/>
    </row>
    <row r="894" spans="1:8" ht="15" customHeight="1">
      <c r="A894" s="61"/>
      <c r="B894" s="77" t="s">
        <v>137</v>
      </c>
      <c r="C894" s="14" t="s">
        <v>1016</v>
      </c>
      <c r="D894" s="246"/>
      <c r="E894" s="14" t="s">
        <v>1017</v>
      </c>
      <c r="F894" s="246" t="str">
        <f>IF(wskakunin_p4_1_KOUZOU2="", "", wskakunin_p4_1_KOUZOU2)</f>
        <v/>
      </c>
      <c r="G894" s="17"/>
      <c r="H894" s="17"/>
    </row>
    <row r="895" spans="1:8" ht="15" customHeight="1">
      <c r="A895" s="61"/>
      <c r="B895" s="77" t="s">
        <v>138</v>
      </c>
      <c r="C895" s="14" t="s">
        <v>1018</v>
      </c>
      <c r="D895" s="255"/>
      <c r="E895" s="14" t="s">
        <v>1019</v>
      </c>
      <c r="F895" s="246" t="str">
        <f>IF(wskakunin_p4_1_TAKASA_MAX="", "", wskakunin_p4_1_TAKASA_MAX)</f>
        <v/>
      </c>
      <c r="G895" s="17"/>
      <c r="H895" s="17"/>
    </row>
    <row r="896" spans="1:8" ht="15" customHeight="1">
      <c r="A896" s="61"/>
      <c r="B896" s="77" t="s">
        <v>139</v>
      </c>
      <c r="C896" s="14" t="s">
        <v>1020</v>
      </c>
      <c r="D896" s="255"/>
      <c r="E896" s="14" t="s">
        <v>1021</v>
      </c>
      <c r="F896" s="246" t="str">
        <f>IF(wskakunin_p4_1_TAKASA_KEN_MAX="", "", wskakunin_p4_1_TAKASA_KEN_MAX)</f>
        <v/>
      </c>
      <c r="G896" s="17"/>
      <c r="H896" s="17"/>
    </row>
    <row r="897" spans="1:8" ht="15" customHeight="1">
      <c r="A897" s="61"/>
      <c r="B897" s="207" t="s">
        <v>2586</v>
      </c>
      <c r="C897" s="14" t="s">
        <v>2587</v>
      </c>
      <c r="D897" s="255"/>
      <c r="E897" s="14" t="s">
        <v>2588</v>
      </c>
      <c r="F897" s="246" t="str">
        <f>IF(wskakunin_p4_1_YUKA_MENSEKI_SHINSEI="","",wskakunin_p4_1_YUKA_MENSEKI_SHINSEI)</f>
        <v/>
      </c>
      <c r="G897" s="17"/>
      <c r="H897" s="17"/>
    </row>
    <row r="898" spans="1:8" ht="15" customHeight="1">
      <c r="A898" s="133"/>
      <c r="B898" s="134"/>
      <c r="D898" s="208"/>
      <c r="F898" s="17"/>
      <c r="G898" s="17"/>
      <c r="H898" s="17"/>
    </row>
    <row r="899" spans="1:8" ht="15" customHeight="1">
      <c r="A899" s="209" t="s">
        <v>1274</v>
      </c>
      <c r="B899" s="77" t="s">
        <v>134</v>
      </c>
      <c r="C899" s="14" t="s">
        <v>2589</v>
      </c>
      <c r="D899" s="255"/>
      <c r="E899" s="14" t="s">
        <v>2595</v>
      </c>
      <c r="F899" s="246" t="str">
        <f>IF(wskakunin_p4_2_KAISU_TIKAI_NOZOKU="","",wskakunin_p4_2_KAISU_TIKAI_NOZOKU)</f>
        <v/>
      </c>
      <c r="G899" s="17"/>
      <c r="H899" s="17"/>
    </row>
    <row r="900" spans="1:8" ht="15" customHeight="1">
      <c r="A900" s="61"/>
      <c r="B900" s="77" t="s">
        <v>135</v>
      </c>
      <c r="C900" s="14" t="s">
        <v>2591</v>
      </c>
      <c r="D900" s="255"/>
      <c r="E900" s="14" t="s">
        <v>2596</v>
      </c>
      <c r="F900" s="246" t="str">
        <f>IF(wskakunin_p4_2_KAISU_TIKAI="","",wskakunin_p4_2_KAISU_TIKAI)</f>
        <v/>
      </c>
      <c r="G900" s="17"/>
      <c r="H900" s="17"/>
    </row>
    <row r="901" spans="1:8" ht="15" customHeight="1">
      <c r="A901" s="61"/>
      <c r="B901" s="207" t="s">
        <v>2586</v>
      </c>
      <c r="C901" s="14" t="s">
        <v>2592</v>
      </c>
      <c r="D901" s="255"/>
      <c r="E901" s="14" t="s">
        <v>2597</v>
      </c>
      <c r="F901" s="246" t="str">
        <f>IF(wskakunin_p4_2_YUKA_MENSEKI_SHINSEI="","",wskakunin_p4_2_YUKA_MENSEKI_SHINSEI)</f>
        <v/>
      </c>
      <c r="G901" s="17"/>
      <c r="H901" s="17"/>
    </row>
    <row r="902" spans="1:8" ht="15" customHeight="1">
      <c r="A902" s="133"/>
      <c r="B902" s="134"/>
      <c r="D902" s="208"/>
      <c r="F902" s="17"/>
      <c r="G902" s="17"/>
      <c r="H902" s="17"/>
    </row>
    <row r="903" spans="1:8" ht="15" customHeight="1">
      <c r="A903" s="209" t="s">
        <v>1278</v>
      </c>
      <c r="B903" s="77" t="s">
        <v>134</v>
      </c>
      <c r="C903" s="14" t="s">
        <v>2593</v>
      </c>
      <c r="D903" s="255"/>
      <c r="E903" s="14" t="s">
        <v>2598</v>
      </c>
      <c r="F903" s="246" t="str">
        <f>IF(wskakunin_p4_3_KAISU_TIKAI_NOZOKU="","",wskakunin_p4_3_KAISU_TIKAI_NOZOKU)</f>
        <v/>
      </c>
      <c r="G903" s="17"/>
      <c r="H903" s="17"/>
    </row>
    <row r="904" spans="1:8" ht="15" customHeight="1">
      <c r="A904" s="61"/>
      <c r="B904" s="77" t="s">
        <v>135</v>
      </c>
      <c r="C904" s="14" t="s">
        <v>2590</v>
      </c>
      <c r="D904" s="255"/>
      <c r="E904" s="14" t="s">
        <v>2599</v>
      </c>
      <c r="F904" s="246" t="str">
        <f>IF(wskakunin_p4_3_KAISU_TIKAI="","",wskakunin_p4_3_KAISU_TIKAI)</f>
        <v/>
      </c>
      <c r="G904" s="17"/>
      <c r="H904" s="17"/>
    </row>
    <row r="905" spans="1:8" ht="15" customHeight="1">
      <c r="A905" s="61"/>
      <c r="B905" s="207" t="s">
        <v>2586</v>
      </c>
      <c r="C905" s="14" t="s">
        <v>2594</v>
      </c>
      <c r="D905" s="255"/>
      <c r="E905" s="14" t="s">
        <v>2600</v>
      </c>
      <c r="F905" s="246" t="str">
        <f>IF(wskakunin_p4_3_YUKA_MENSEKI_SHINSEI="","",wskakunin_p4_3_YUKA_MENSEKI_SHINSEI)</f>
        <v/>
      </c>
      <c r="G905" s="17"/>
      <c r="H905" s="17"/>
    </row>
    <row r="906" spans="1:8" ht="15" customHeight="1">
      <c r="A906" s="133"/>
      <c r="B906" s="134"/>
      <c r="D906" s="208"/>
      <c r="F906" s="17"/>
      <c r="G906" s="17"/>
      <c r="H906" s="17"/>
    </row>
    <row r="908" spans="1:8" ht="15" customHeight="1">
      <c r="A908" s="58" t="s">
        <v>118</v>
      </c>
      <c r="B908" s="107"/>
      <c r="G908" s="17"/>
      <c r="H908" s="17"/>
    </row>
    <row r="909" spans="1:8" ht="15" customHeight="1">
      <c r="A909" s="46" t="s">
        <v>1022</v>
      </c>
      <c r="B909" s="49"/>
      <c r="G909" s="17"/>
      <c r="H909" s="17"/>
    </row>
    <row r="910" spans="1:8" ht="15" customHeight="1">
      <c r="A910" s="84"/>
      <c r="B910" s="78" t="s">
        <v>709</v>
      </c>
      <c r="C910" s="14" t="s">
        <v>1023</v>
      </c>
      <c r="D910" s="154" t="s">
        <v>3262</v>
      </c>
      <c r="E910" s="14" t="s">
        <v>1024</v>
      </c>
      <c r="F910" s="154" t="str">
        <f>IF(wskakunin_BUILD__address="", "", wskakunin_BUILD__address)</f>
        <v>静岡県静岡市葵区平和二丁目215-8</v>
      </c>
      <c r="G910" s="17"/>
      <c r="H910" s="17"/>
    </row>
    <row r="911" spans="1:8" ht="15" customHeight="1">
      <c r="A911" s="84"/>
      <c r="B911" s="151" t="s">
        <v>1359</v>
      </c>
      <c r="C911" s="14" t="s">
        <v>1025</v>
      </c>
      <c r="D911" s="154" t="s">
        <v>3265</v>
      </c>
      <c r="E911" s="14" t="s">
        <v>1026</v>
      </c>
      <c r="F911" s="154" t="str">
        <f>IF(wskakunin_BUILD_KEN__ken="","",wskakunin_BUILD_KEN__ken)</f>
        <v>静岡県</v>
      </c>
      <c r="G911" s="17"/>
      <c r="H911" s="17"/>
    </row>
    <row r="912" spans="1:8" ht="15" customHeight="1">
      <c r="A912" s="84"/>
      <c r="B912" s="151" t="s">
        <v>1360</v>
      </c>
      <c r="C912" s="14" t="s">
        <v>1357</v>
      </c>
      <c r="D912" s="154" t="s">
        <v>3263</v>
      </c>
      <c r="E912" s="14" t="s">
        <v>1358</v>
      </c>
      <c r="F912" s="154" t="str">
        <f>IF(wskakunin_BUILD_ADDRESS="","",wskakunin_BUILD_ADDRESS)</f>
        <v>静岡市葵区平和二丁目215-8</v>
      </c>
      <c r="G912" s="17"/>
      <c r="H912" s="17"/>
    </row>
    <row r="913" spans="1:8" ht="15" customHeight="1">
      <c r="A913" s="85"/>
      <c r="B913" s="86"/>
      <c r="D913" s="17"/>
      <c r="F913" s="17"/>
      <c r="G913" s="17"/>
      <c r="H913" s="17"/>
    </row>
    <row r="914" spans="1:8" ht="15" customHeight="1">
      <c r="A914" s="46" t="s">
        <v>594</v>
      </c>
      <c r="B914" s="49"/>
      <c r="G914" s="17"/>
      <c r="H914" s="17"/>
    </row>
    <row r="915" spans="1:8" ht="15" customHeight="1">
      <c r="A915" s="84"/>
      <c r="B915" s="78" t="s">
        <v>13</v>
      </c>
      <c r="C915" s="14" t="s">
        <v>1361</v>
      </c>
      <c r="D915" s="44"/>
      <c r="E915" s="14" t="s">
        <v>1363</v>
      </c>
      <c r="F915" s="44" t="str">
        <f>IF(wskakunin_BUILD_JYUKYO__address="","",wskakunin_BUILD_JYUKYO__address)</f>
        <v/>
      </c>
      <c r="G915" s="17"/>
      <c r="H915" s="17"/>
    </row>
    <row r="916" spans="1:8" ht="15" customHeight="1">
      <c r="A916" s="84"/>
      <c r="B916" s="151" t="s">
        <v>1359</v>
      </c>
      <c r="C916" s="14" t="s">
        <v>1362</v>
      </c>
      <c r="D916" s="44"/>
      <c r="E916" s="14" t="s">
        <v>1364</v>
      </c>
      <c r="F916" s="44" t="str">
        <f>IF(wskakunin_BUILD_JYUKYO_KEN__ken="","",wskakunin_BUILD_JYUKYO_KEN__ken)</f>
        <v/>
      </c>
      <c r="G916" s="17"/>
      <c r="H916" s="17"/>
    </row>
    <row r="917" spans="1:8" ht="15" customHeight="1">
      <c r="A917" s="84"/>
      <c r="B917" s="151" t="s">
        <v>1360</v>
      </c>
      <c r="C917" s="14" t="s">
        <v>1027</v>
      </c>
      <c r="D917" s="154"/>
      <c r="E917" s="14" t="s">
        <v>1028</v>
      </c>
      <c r="F917" s="154" t="str">
        <f>IF(wskakunin_BUILD_JYUKYO_ADDRESS="","",wskakunin_BUILD_JYUKYO_ADDRESS)</f>
        <v/>
      </c>
      <c r="G917" s="17"/>
      <c r="H917" s="17"/>
    </row>
    <row r="918" spans="1:8" ht="15" customHeight="1">
      <c r="A918" s="85"/>
      <c r="B918" s="86"/>
      <c r="D918" s="17"/>
      <c r="F918" s="17"/>
      <c r="G918" s="17"/>
      <c r="H918" s="17"/>
    </row>
    <row r="919" spans="1:8" ht="15" customHeight="1">
      <c r="A919" s="1" t="s">
        <v>1029</v>
      </c>
      <c r="B919" s="49"/>
      <c r="G919" s="17"/>
      <c r="H919" s="17"/>
    </row>
    <row r="920" spans="1:8" ht="15" customHeight="1">
      <c r="A920" s="7"/>
      <c r="B920" s="78" t="s">
        <v>449</v>
      </c>
      <c r="C920" s="14" t="s">
        <v>1030</v>
      </c>
      <c r="D920" s="154"/>
      <c r="E920" s="14" t="s">
        <v>1031</v>
      </c>
      <c r="F920" s="154" t="str">
        <f>IF(wskakunin_KUIKI_TOSI=1,"■","□")</f>
        <v>□</v>
      </c>
      <c r="H920" s="17"/>
    </row>
    <row r="921" spans="1:8" ht="15" customHeight="1">
      <c r="A921" s="7"/>
      <c r="B921" s="78" t="s">
        <v>132</v>
      </c>
      <c r="C921" s="14" t="s">
        <v>1032</v>
      </c>
      <c r="D921" s="154"/>
      <c r="E921" s="14" t="s">
        <v>1033</v>
      </c>
      <c r="F921" s="154" t="str">
        <f>IF(wskakunin__kuiki="", "", wskakunin__kuiki)</f>
        <v/>
      </c>
      <c r="G921" s="17"/>
      <c r="H921" s="17"/>
    </row>
    <row r="922" spans="1:8" ht="15" customHeight="1">
      <c r="A922" s="224"/>
      <c r="B922" s="78"/>
      <c r="D922" s="17"/>
      <c r="E922" s="14" t="s">
        <v>2731</v>
      </c>
      <c r="F922" s="154" t="str">
        <f>IF(cst_wskakunin__kuiki="都市計画区域内","■","□")</f>
        <v>□</v>
      </c>
      <c r="G922" s="17"/>
      <c r="H922" s="17"/>
    </row>
    <row r="923" spans="1:8" ht="15" customHeight="1">
      <c r="A923" s="7"/>
      <c r="B923" s="78" t="s">
        <v>453</v>
      </c>
      <c r="C923" s="14" t="s">
        <v>1034</v>
      </c>
      <c r="D923" s="154"/>
      <c r="E923" s="14" t="s">
        <v>1035</v>
      </c>
      <c r="F923" s="154" t="str">
        <f>IF(wskakunin_KUIKI_SIGAIKA=1,"■","□")</f>
        <v>□</v>
      </c>
      <c r="G923" s="17"/>
      <c r="H923" s="17"/>
    </row>
    <row r="924" spans="1:8" ht="15" customHeight="1">
      <c r="A924" s="7"/>
      <c r="B924" s="78" t="s">
        <v>452</v>
      </c>
      <c r="C924" s="14" t="s">
        <v>1036</v>
      </c>
      <c r="D924" s="154"/>
      <c r="E924" s="14" t="s">
        <v>1037</v>
      </c>
      <c r="F924" s="154" t="str">
        <f>IF(wskakunin__tosi_kuiki="", "", wskakunin__tosi_kuiki)</f>
        <v/>
      </c>
      <c r="G924" s="17"/>
      <c r="H924" s="17"/>
    </row>
    <row r="925" spans="1:8" ht="15" customHeight="1">
      <c r="A925" s="7"/>
      <c r="B925" s="78" t="s">
        <v>454</v>
      </c>
      <c r="C925" s="14" t="s">
        <v>1038</v>
      </c>
      <c r="D925" s="154"/>
      <c r="E925" s="14" t="s">
        <v>1039</v>
      </c>
      <c r="F925" s="154" t="str">
        <f>IF(wskakunin_KUIKI_TYOSEI=1,"■","□")</f>
        <v>□</v>
      </c>
      <c r="H925" s="17"/>
    </row>
    <row r="926" spans="1:8" ht="15" customHeight="1">
      <c r="A926" s="7"/>
      <c r="B926" s="78" t="s">
        <v>455</v>
      </c>
      <c r="C926" s="14" t="s">
        <v>1040</v>
      </c>
      <c r="D926" s="154"/>
      <c r="E926" s="14" t="s">
        <v>1041</v>
      </c>
      <c r="F926" s="154" t="str">
        <f>IF(wskakunin_KUIKI_HISETTEI=1,"■","□")</f>
        <v>□</v>
      </c>
      <c r="H926" s="17"/>
    </row>
    <row r="927" spans="1:8" ht="15" customHeight="1">
      <c r="A927" s="7"/>
      <c r="B927" s="78" t="s">
        <v>450</v>
      </c>
      <c r="C927" s="14" t="s">
        <v>1042</v>
      </c>
      <c r="D927" s="154"/>
      <c r="E927" s="14" t="s">
        <v>1043</v>
      </c>
      <c r="F927" s="154" t="str">
        <f>IF(wskakunin_KUIKI_JYUN_TOSHI=1,"■","□")</f>
        <v>□</v>
      </c>
      <c r="H927" s="17"/>
    </row>
    <row r="928" spans="1:8" ht="15" customHeight="1">
      <c r="A928" s="7"/>
      <c r="B928" s="75" t="s">
        <v>451</v>
      </c>
      <c r="C928" s="14" t="s">
        <v>1044</v>
      </c>
      <c r="D928" s="154"/>
      <c r="E928" s="14" t="s">
        <v>1045</v>
      </c>
      <c r="F928" s="154" t="str">
        <f>IF(wskakunin_KUIKI_KUIKIGAI=1,"■","□")</f>
        <v>□</v>
      </c>
      <c r="H928" s="17"/>
    </row>
    <row r="929" spans="1:8" ht="15" customHeight="1">
      <c r="A929" s="8"/>
      <c r="B929" s="76"/>
      <c r="D929" s="17"/>
      <c r="F929" s="17"/>
      <c r="H929" s="17"/>
    </row>
    <row r="930" spans="1:8" ht="15" customHeight="1">
      <c r="A930" s="1" t="s">
        <v>595</v>
      </c>
      <c r="B930" s="28"/>
      <c r="C930" s="14" t="s">
        <v>1046</v>
      </c>
      <c r="D930" s="154"/>
      <c r="E930" s="14" t="s">
        <v>1047</v>
      </c>
      <c r="F930" s="154" t="str">
        <f>IF(wskakunin__bouka="", "", wskakunin__bouka)</f>
        <v/>
      </c>
      <c r="H930" s="17"/>
    </row>
    <row r="931" spans="1:8" ht="15" customHeight="1">
      <c r="A931" s="7"/>
      <c r="B931" s="72" t="s">
        <v>456</v>
      </c>
      <c r="C931" s="14" t="s">
        <v>1048</v>
      </c>
      <c r="D931" s="154"/>
      <c r="E931" s="14" t="s">
        <v>1049</v>
      </c>
      <c r="F931" s="154" t="str">
        <f>IF(wskakunin_BOUKA_BOUKA=1,"■","□")</f>
        <v>□</v>
      </c>
      <c r="H931" s="17"/>
    </row>
    <row r="932" spans="1:8" ht="15" customHeight="1">
      <c r="A932" s="7"/>
      <c r="B932" s="72" t="s">
        <v>457</v>
      </c>
      <c r="C932" s="14" t="s">
        <v>1050</v>
      </c>
      <c r="D932" s="154"/>
      <c r="E932" s="14" t="s">
        <v>1051</v>
      </c>
      <c r="F932" s="154" t="str">
        <f>IF(wskakunin_BOUKA_JYUN_BOUKA=1,"■","□")</f>
        <v>□</v>
      </c>
      <c r="H932" s="17"/>
    </row>
    <row r="933" spans="1:8" ht="15" customHeight="1">
      <c r="A933" s="7"/>
      <c r="B933" s="72" t="s">
        <v>217</v>
      </c>
      <c r="C933" s="14" t="s">
        <v>1052</v>
      </c>
      <c r="D933" s="154"/>
      <c r="E933" s="14" t="s">
        <v>1053</v>
      </c>
      <c r="F933" s="154" t="str">
        <f>IF(wskakunin_BOUKA_NASI=1,"■","□")</f>
        <v>□</v>
      </c>
      <c r="H933" s="17"/>
    </row>
    <row r="934" spans="1:8" ht="15" customHeight="1">
      <c r="A934" s="7"/>
      <c r="B934" s="72" t="s">
        <v>458</v>
      </c>
      <c r="C934" s="14" t="s">
        <v>1054</v>
      </c>
      <c r="D934" s="154"/>
      <c r="E934" s="14" t="s">
        <v>1055</v>
      </c>
      <c r="F934" s="154" t="str">
        <f>IF(wskakunin_BOUKA_22JYO=1,"■","□")</f>
        <v>□</v>
      </c>
      <c r="H934" s="17"/>
    </row>
    <row r="935" spans="1:8" ht="15" customHeight="1">
      <c r="A935" s="8"/>
      <c r="B935" s="73"/>
      <c r="D935" s="17"/>
      <c r="F935" s="17"/>
      <c r="H935" s="17"/>
    </row>
    <row r="936" spans="1:8" ht="15" customHeight="1">
      <c r="A936" s="1" t="s">
        <v>596</v>
      </c>
      <c r="B936" s="28"/>
      <c r="C936" s="14" t="s">
        <v>1056</v>
      </c>
      <c r="D936" s="154"/>
      <c r="E936" s="14" t="s">
        <v>1057</v>
      </c>
      <c r="F936" s="154" t="str">
        <f>IF(wskakunin_SONOTA_KUIKI="","",wskakunin_SONOTA_KUIKI)</f>
        <v/>
      </c>
      <c r="H936" s="17"/>
    </row>
    <row r="937" spans="1:8" ht="15" customHeight="1">
      <c r="A937" s="8"/>
      <c r="B937" s="63"/>
      <c r="H937" s="17"/>
    </row>
    <row r="938" spans="1:8" ht="15" customHeight="1">
      <c r="A938" s="27" t="s">
        <v>597</v>
      </c>
      <c r="B938" s="27"/>
      <c r="D938" s="17"/>
      <c r="F938" s="17"/>
      <c r="H938" s="17"/>
    </row>
    <row r="939" spans="1:8" ht="15" customHeight="1">
      <c r="A939" s="27"/>
      <c r="B939" s="72" t="s">
        <v>598</v>
      </c>
      <c r="C939" s="14" t="s">
        <v>1058</v>
      </c>
      <c r="D939" s="257"/>
      <c r="E939" s="14" t="s">
        <v>1059</v>
      </c>
      <c r="F939" s="257" t="str">
        <f>IF(wskakunin_DOURO_FUKUIN="","",wskakunin_DOURO_FUKUIN)</f>
        <v/>
      </c>
      <c r="H939" s="17"/>
    </row>
    <row r="940" spans="1:8" ht="15" customHeight="1">
      <c r="A940" s="27"/>
      <c r="B940" s="72" t="s">
        <v>599</v>
      </c>
      <c r="C940" s="14" t="s">
        <v>1060</v>
      </c>
      <c r="D940" s="257"/>
      <c r="E940" s="14" t="s">
        <v>1061</v>
      </c>
      <c r="F940" s="257" t="str">
        <f>IF(wskakunin_DOURO_NAGASA="","",wskakunin_DOURO_NAGASA)</f>
        <v/>
      </c>
      <c r="H940" s="17"/>
    </row>
    <row r="941" spans="1:8" ht="15" customHeight="1">
      <c r="A941" s="27"/>
      <c r="B941" s="73"/>
      <c r="D941" s="17"/>
      <c r="F941" s="17"/>
      <c r="H941" s="17"/>
    </row>
    <row r="942" spans="1:8" ht="15" customHeight="1">
      <c r="A942" s="68" t="s">
        <v>600</v>
      </c>
      <c r="B942" s="69"/>
      <c r="D942" s="17"/>
      <c r="F942" s="17"/>
      <c r="H942" s="17"/>
    </row>
    <row r="943" spans="1:8" ht="15" customHeight="1">
      <c r="A943" s="45" t="s">
        <v>707</v>
      </c>
      <c r="B943" s="70"/>
      <c r="D943" s="17"/>
      <c r="F943" s="17"/>
      <c r="H943" s="17"/>
    </row>
    <row r="944" spans="1:8" ht="15" customHeight="1">
      <c r="A944" s="7"/>
      <c r="B944" s="72" t="s">
        <v>1062</v>
      </c>
      <c r="C944" s="14" t="s">
        <v>1063</v>
      </c>
      <c r="D944" s="258"/>
      <c r="E944" s="14" t="s">
        <v>1064</v>
      </c>
      <c r="F944" s="258" t="str">
        <f>IF(wskakunin_SHIKITI_MENSEKI_1A="","",wskakunin_SHIKITI_MENSEKI_1A)</f>
        <v/>
      </c>
      <c r="H944" s="17"/>
    </row>
    <row r="945" spans="1:8" ht="15" customHeight="1">
      <c r="A945" s="7"/>
      <c r="B945" s="72" t="s">
        <v>1065</v>
      </c>
      <c r="C945" s="14" t="s">
        <v>1066</v>
      </c>
      <c r="D945" s="258"/>
      <c r="E945" s="14" t="s">
        <v>1067</v>
      </c>
      <c r="F945" s="258" t="str">
        <f>IF(wskakunin_SHIKITI_MENSEKI_1B="","",wskakunin_SHIKITI_MENSEKI_1B)</f>
        <v/>
      </c>
      <c r="H945" s="17"/>
    </row>
    <row r="946" spans="1:8" ht="15" customHeight="1">
      <c r="A946" s="7"/>
      <c r="B946" s="72" t="s">
        <v>1068</v>
      </c>
      <c r="C946" s="14" t="s">
        <v>1069</v>
      </c>
      <c r="D946" s="258"/>
      <c r="E946" s="14" t="s">
        <v>1070</v>
      </c>
      <c r="F946" s="258" t="str">
        <f>IF(wskakunin_SHIKITI_MENSEKI_1C="","",wskakunin_SHIKITI_MENSEKI_1C)</f>
        <v/>
      </c>
      <c r="H946" s="17"/>
    </row>
    <row r="947" spans="1:8" ht="15" customHeight="1">
      <c r="A947" s="7"/>
      <c r="B947" s="72" t="s">
        <v>1071</v>
      </c>
      <c r="C947" s="14" t="s">
        <v>1072</v>
      </c>
      <c r="D947" s="258"/>
      <c r="E947" s="14" t="s">
        <v>1073</v>
      </c>
      <c r="F947" s="258" t="str">
        <f>IF(wskakunin_SHIKITI_MENSEKI_1D="","",wskakunin_SHIKITI_MENSEKI_1D)</f>
        <v/>
      </c>
      <c r="H947" s="17"/>
    </row>
    <row r="948" spans="1:8" ht="15" customHeight="1">
      <c r="A948" s="7"/>
      <c r="B948" s="72" t="s">
        <v>1074</v>
      </c>
      <c r="C948" s="14" t="s">
        <v>1075</v>
      </c>
      <c r="D948" s="258"/>
      <c r="E948" s="14" t="s">
        <v>1076</v>
      </c>
      <c r="F948" s="258" t="str">
        <f>IF(wskakunin_SHIKITI_MENSEKI_2A="","",wskakunin_SHIKITI_MENSEKI_2A)</f>
        <v/>
      </c>
      <c r="H948" s="17"/>
    </row>
    <row r="949" spans="1:8" ht="15" customHeight="1">
      <c r="A949" s="7"/>
      <c r="B949" s="72" t="s">
        <v>1077</v>
      </c>
      <c r="C949" s="14" t="s">
        <v>1078</v>
      </c>
      <c r="D949" s="258"/>
      <c r="E949" s="14" t="s">
        <v>1079</v>
      </c>
      <c r="F949" s="258" t="str">
        <f>IF(wskakunin_SHIKITI_MENSEKI_2B="","",wskakunin_SHIKITI_MENSEKI_2B)</f>
        <v/>
      </c>
      <c r="H949" s="17"/>
    </row>
    <row r="950" spans="1:8" ht="15" customHeight="1">
      <c r="A950" s="7"/>
      <c r="B950" s="72" t="s">
        <v>1080</v>
      </c>
      <c r="C950" s="14" t="s">
        <v>1081</v>
      </c>
      <c r="D950" s="258"/>
      <c r="E950" s="14" t="s">
        <v>1082</v>
      </c>
      <c r="F950" s="258" t="str">
        <f>IF(wskakunin_SHIKITI_MENSEKI_2C="","",wskakunin_SHIKITI_MENSEKI_2C)</f>
        <v/>
      </c>
      <c r="H950" s="17"/>
    </row>
    <row r="951" spans="1:8" ht="15" customHeight="1">
      <c r="A951" s="7"/>
      <c r="B951" s="43" t="s">
        <v>1083</v>
      </c>
      <c r="C951" s="14" t="s">
        <v>1084</v>
      </c>
      <c r="D951" s="258"/>
      <c r="E951" s="14" t="s">
        <v>1085</v>
      </c>
      <c r="F951" s="258" t="str">
        <f>IF(wskakunin_SHIKITI_MENSEKI_2D="","",wskakunin_SHIKITI_MENSEKI_2D)</f>
        <v/>
      </c>
      <c r="H951" s="17"/>
    </row>
    <row r="952" spans="1:8" ht="15" customHeight="1">
      <c r="A952" s="45" t="s">
        <v>218</v>
      </c>
      <c r="B952" s="70"/>
      <c r="D952" s="17"/>
      <c r="F952" s="17"/>
      <c r="H952" s="17"/>
    </row>
    <row r="953" spans="1:8" ht="15" customHeight="1">
      <c r="A953" s="7"/>
      <c r="B953" s="72" t="s">
        <v>1086</v>
      </c>
      <c r="C953" s="14" t="s">
        <v>1087</v>
      </c>
      <c r="D953" s="154"/>
      <c r="E953" s="14" t="s">
        <v>1088</v>
      </c>
      <c r="F953" s="154" t="str">
        <f>IF(wskakunin_YOUTO_TIIKI_A="", "", wskakunin_YOUTO_TIIKI_A)</f>
        <v/>
      </c>
      <c r="H953" s="17"/>
    </row>
    <row r="954" spans="1:8" ht="15" customHeight="1">
      <c r="A954" s="7"/>
      <c r="B954" s="72" t="s">
        <v>1089</v>
      </c>
      <c r="C954" s="14" t="s">
        <v>1090</v>
      </c>
      <c r="D954" s="154"/>
      <c r="E954" s="14" t="s">
        <v>1091</v>
      </c>
      <c r="F954" s="154" t="str">
        <f>IF(wskakunin_YOUTO_TIIKI_B="","",wskakunin_YOUTO_TIIKI_B)</f>
        <v/>
      </c>
      <c r="H954" s="17"/>
    </row>
    <row r="955" spans="1:8" ht="15" customHeight="1">
      <c r="A955" s="7"/>
      <c r="B955" s="72" t="s">
        <v>1092</v>
      </c>
      <c r="C955" s="14" t="s">
        <v>1093</v>
      </c>
      <c r="D955" s="154"/>
      <c r="E955" s="14" t="s">
        <v>1094</v>
      </c>
      <c r="F955" s="154" t="str">
        <f>IF(wskakunin_YOUTO_TIIKI_C="","",wskakunin_YOUTO_TIIKI_C)</f>
        <v/>
      </c>
      <c r="H955" s="17"/>
    </row>
    <row r="956" spans="1:8" ht="15" customHeight="1">
      <c r="A956" s="71"/>
      <c r="B956" s="72" t="s">
        <v>1095</v>
      </c>
      <c r="C956" s="14" t="s">
        <v>1096</v>
      </c>
      <c r="D956" s="154"/>
      <c r="E956" s="14" t="s">
        <v>1097</v>
      </c>
      <c r="F956" s="154" t="str">
        <f>IF(wskakunin_YOUTO_TIIKI_D="","",wskakunin_YOUTO_TIIKI_D)</f>
        <v/>
      </c>
      <c r="G956" s="14" t="s">
        <v>616</v>
      </c>
      <c r="H956" s="17"/>
    </row>
    <row r="957" spans="1:8" ht="15" customHeight="1">
      <c r="A957" s="45" t="s">
        <v>200</v>
      </c>
      <c r="B957" s="70"/>
      <c r="D957" s="17"/>
      <c r="F957" s="17"/>
      <c r="H957" s="17"/>
    </row>
    <row r="958" spans="1:8" ht="15" customHeight="1">
      <c r="A958" s="7"/>
      <c r="B958" s="72" t="s">
        <v>1086</v>
      </c>
      <c r="C958" s="14" t="s">
        <v>1098</v>
      </c>
      <c r="D958" s="258"/>
      <c r="E958" s="108" t="s">
        <v>1099</v>
      </c>
      <c r="F958" s="258" t="str">
        <f>IF(wskakunin_YOUSEKI_RITU_A="","",wskakunin_YOUSEKI_RITU_A)</f>
        <v/>
      </c>
      <c r="H958" s="17"/>
    </row>
    <row r="959" spans="1:8" ht="15" customHeight="1">
      <c r="A959" s="7"/>
      <c r="B959" s="72" t="s">
        <v>1089</v>
      </c>
      <c r="C959" s="14" t="s">
        <v>1100</v>
      </c>
      <c r="D959" s="258"/>
      <c r="E959" s="108" t="s">
        <v>1101</v>
      </c>
      <c r="F959" s="258" t="str">
        <f>IF(wskakunin_YOUSEKI_RITU_B="","",wskakunin_YOUSEKI_RITU_B)</f>
        <v/>
      </c>
      <c r="H959" s="17"/>
    </row>
    <row r="960" spans="1:8" ht="15" customHeight="1">
      <c r="A960" s="7"/>
      <c r="B960" s="72" t="s">
        <v>1092</v>
      </c>
      <c r="C960" s="14" t="s">
        <v>1102</v>
      </c>
      <c r="D960" s="258"/>
      <c r="E960" s="108" t="s">
        <v>1103</v>
      </c>
      <c r="F960" s="258" t="str">
        <f>IF(wskakunin_YOUSEKI_RITU_C="","",wskakunin_YOUSEKI_RITU_C)</f>
        <v/>
      </c>
      <c r="H960" s="17"/>
    </row>
    <row r="961" spans="1:8" ht="15" customHeight="1">
      <c r="A961" s="71"/>
      <c r="B961" s="72" t="s">
        <v>1095</v>
      </c>
      <c r="C961" s="14" t="s">
        <v>1104</v>
      </c>
      <c r="D961" s="258"/>
      <c r="E961" s="108" t="s">
        <v>1105</v>
      </c>
      <c r="F961" s="258" t="str">
        <f>IF(wskakunin_YOUSEKI_RITU_D="","",wskakunin_YOUSEKI_RITU_D)</f>
        <v/>
      </c>
      <c r="H961" s="17"/>
    </row>
    <row r="962" spans="1:8" ht="15" customHeight="1">
      <c r="A962" s="45" t="s">
        <v>601</v>
      </c>
      <c r="B962" s="70"/>
      <c r="D962" s="109"/>
      <c r="E962" s="108"/>
      <c r="F962" s="109"/>
      <c r="H962" s="17"/>
    </row>
    <row r="963" spans="1:8" ht="15" customHeight="1">
      <c r="A963" s="7"/>
      <c r="B963" s="72" t="s">
        <v>1086</v>
      </c>
      <c r="C963" s="14" t="s">
        <v>1106</v>
      </c>
      <c r="D963" s="258"/>
      <c r="E963" s="108" t="s">
        <v>1107</v>
      </c>
      <c r="F963" s="258" t="str">
        <f>IF(wskakunin_KENPEI_RITU_A="","",wskakunin_KENPEI_RITU_A)</f>
        <v/>
      </c>
      <c r="H963" s="17"/>
    </row>
    <row r="964" spans="1:8" ht="15" customHeight="1">
      <c r="A964" s="7"/>
      <c r="B964" s="72" t="s">
        <v>1089</v>
      </c>
      <c r="C964" s="14" t="s">
        <v>1108</v>
      </c>
      <c r="D964" s="258"/>
      <c r="E964" s="108" t="s">
        <v>1109</v>
      </c>
      <c r="F964" s="258" t="str">
        <f>IF(wskakunin_KENPEI_RITU_B="","",wskakunin_KENPEI_RITU_B)</f>
        <v/>
      </c>
    </row>
    <row r="965" spans="1:8" ht="15" customHeight="1">
      <c r="A965" s="7"/>
      <c r="B965" s="72" t="s">
        <v>1092</v>
      </c>
      <c r="C965" s="14" t="s">
        <v>1110</v>
      </c>
      <c r="D965" s="258"/>
      <c r="E965" s="108" t="s">
        <v>1111</v>
      </c>
      <c r="F965" s="258" t="str">
        <f>IF(wskakunin_KENPEI_RITU_C="","",wskakunin_KENPEI_RITU_C)</f>
        <v/>
      </c>
    </row>
    <row r="966" spans="1:8" ht="15" customHeight="1">
      <c r="A966" s="71"/>
      <c r="B966" s="72" t="s">
        <v>1095</v>
      </c>
      <c r="C966" s="14" t="s">
        <v>1112</v>
      </c>
      <c r="D966" s="258"/>
      <c r="E966" s="108" t="s">
        <v>1113</v>
      </c>
      <c r="F966" s="258" t="str">
        <f>IF(wskakunin_KENPEI_RITU_D="","",wskakunin_KENPEI_RITU_D)</f>
        <v/>
      </c>
    </row>
    <row r="967" spans="1:8" ht="15" customHeight="1">
      <c r="A967" s="7" t="s">
        <v>708</v>
      </c>
      <c r="B967" s="29"/>
      <c r="D967" s="109"/>
      <c r="E967" s="108"/>
      <c r="F967" s="109"/>
    </row>
    <row r="968" spans="1:8" ht="15" customHeight="1">
      <c r="A968" s="7"/>
      <c r="B968" s="72" t="s">
        <v>1114</v>
      </c>
      <c r="C968" s="14" t="s">
        <v>1115</v>
      </c>
      <c r="D968" s="258"/>
      <c r="E968" s="14" t="s">
        <v>1116</v>
      </c>
      <c r="F968" s="154" t="str">
        <f>IF(wskakunin_SHIKITI_MENSEKI_1_TOTAL="", "", wskakunin_SHIKITI_MENSEKI_1_TOTAL)</f>
        <v/>
      </c>
    </row>
    <row r="969" spans="1:8" ht="15" customHeight="1">
      <c r="A969" s="224"/>
      <c r="B969" s="72" t="s">
        <v>2931</v>
      </c>
      <c r="D969" s="109"/>
      <c r="E969" s="14" t="s">
        <v>2932</v>
      </c>
      <c r="F969" s="154" t="str">
        <f>IF(OR(wskakunin_SHIKITI_MENSEKI_1_TOTAL="",wskakunin_KOUJI_SINTIKU&lt;&gt;1), "", wskakunin_SHIKITI_MENSEKI_1_TOTAL)</f>
        <v/>
      </c>
    </row>
    <row r="970" spans="1:8" ht="15" customHeight="1">
      <c r="A970" s="7"/>
      <c r="B970" s="72" t="s">
        <v>1117</v>
      </c>
      <c r="C970" s="14" t="s">
        <v>1118</v>
      </c>
      <c r="D970" s="258"/>
      <c r="E970" s="108" t="s">
        <v>1119</v>
      </c>
      <c r="F970" s="258" t="str">
        <f>IF(wskakunin_SHIKITI_MENSEKI_2_TOTAL="","",wskakunin_SHIKITI_MENSEKI_2_TOTAL)</f>
        <v/>
      </c>
    </row>
    <row r="971" spans="1:8" ht="15" customHeight="1">
      <c r="A971" s="7"/>
      <c r="B971" s="83" t="s">
        <v>1120</v>
      </c>
      <c r="C971" s="14" t="s">
        <v>1121</v>
      </c>
      <c r="D971" s="258"/>
      <c r="E971" s="108" t="s">
        <v>1122</v>
      </c>
      <c r="F971" s="258" t="str">
        <f>IF(wskakunin_LIMIT_YOUSEKI_RITU="","",wskakunin_LIMIT_YOUSEKI_RITU)</f>
        <v/>
      </c>
    </row>
    <row r="972" spans="1:8" ht="15" customHeight="1">
      <c r="A972" s="7"/>
      <c r="B972" s="83" t="s">
        <v>1123</v>
      </c>
      <c r="C972" s="14" t="s">
        <v>1124</v>
      </c>
      <c r="D972" s="258"/>
      <c r="E972" s="108" t="s">
        <v>1125</v>
      </c>
      <c r="F972" s="258" t="str">
        <f>IF(wskakunin_LIMIT_KENPEI_RITU="","",wskakunin_LIMIT_KENPEI_RITU)</f>
        <v/>
      </c>
    </row>
    <row r="973" spans="1:8" ht="15" customHeight="1">
      <c r="A973" s="8"/>
      <c r="B973" s="73" t="s">
        <v>484</v>
      </c>
      <c r="C973" s="14" t="s">
        <v>1126</v>
      </c>
      <c r="D973" s="154"/>
      <c r="E973" s="14" t="s">
        <v>1127</v>
      </c>
      <c r="F973" s="154" t="str">
        <f>IF(wskakunin_SHIKITI_MENSEKI_BIKOU="","",wskakunin_SHIKITI_MENSEKI_BIKOU)</f>
        <v/>
      </c>
    </row>
    <row r="974" spans="1:8" ht="15" customHeight="1">
      <c r="A974" s="46" t="s">
        <v>602</v>
      </c>
      <c r="B974" s="47"/>
      <c r="D974" s="17"/>
      <c r="F974" s="17"/>
    </row>
    <row r="975" spans="1:8" ht="15" customHeight="1">
      <c r="A975" s="84"/>
      <c r="B975" s="78" t="s">
        <v>1128</v>
      </c>
      <c r="C975" s="14" t="s">
        <v>1129</v>
      </c>
      <c r="D975" s="240"/>
      <c r="E975" s="14" t="s">
        <v>1130</v>
      </c>
      <c r="F975" s="240" t="str">
        <f>IF(wskakunin_YOUTO_CODE="","",wskakunin_YOUTO_CODE)</f>
        <v/>
      </c>
    </row>
    <row r="976" spans="1:8" ht="15" customHeight="1">
      <c r="A976" s="84"/>
      <c r="B976" s="78" t="s">
        <v>123</v>
      </c>
      <c r="C976" s="14" t="s">
        <v>1131</v>
      </c>
      <c r="D976" s="154"/>
      <c r="E976" s="14" t="s">
        <v>1132</v>
      </c>
      <c r="F976" s="154" t="str">
        <f>IF(wskakunin_YOUTO="", "", wskakunin_YOUTO)</f>
        <v/>
      </c>
    </row>
    <row r="977" spans="1:7" ht="15" customHeight="1">
      <c r="A977" s="137"/>
      <c r="B977" s="86" t="s">
        <v>2700</v>
      </c>
      <c r="C977" s="14" t="s">
        <v>2701</v>
      </c>
      <c r="D977" s="154"/>
      <c r="E977" s="14" t="s">
        <v>2702</v>
      </c>
      <c r="F977" s="154" t="str">
        <f>IF(shinsei_UNIT_COUNT="","",shinsei_UNIT_COUNT)</f>
        <v/>
      </c>
    </row>
    <row r="978" spans="1:7" ht="15" customHeight="1">
      <c r="A978" s="1" t="s">
        <v>603</v>
      </c>
      <c r="B978" s="69"/>
      <c r="D978" s="17"/>
      <c r="F978" s="17"/>
    </row>
    <row r="979" spans="1:7" ht="15" customHeight="1">
      <c r="A979" s="71"/>
      <c r="B979" s="72" t="s">
        <v>2328</v>
      </c>
      <c r="C979" s="14" t="s">
        <v>1133</v>
      </c>
      <c r="D979" s="154" t="s">
        <v>459</v>
      </c>
      <c r="E979" s="14" t="s">
        <v>1134</v>
      </c>
      <c r="F979" s="154" t="str">
        <f>IF(wskakunin__kouji="", "", wskakunin__kouji)</f>
        <v>新築</v>
      </c>
    </row>
    <row r="980" spans="1:7" ht="15" customHeight="1">
      <c r="A980" s="7"/>
      <c r="B980" s="72" t="s">
        <v>459</v>
      </c>
      <c r="C980" s="14" t="s">
        <v>1135</v>
      </c>
      <c r="D980" s="154">
        <v>1</v>
      </c>
      <c r="E980" s="14" t="s">
        <v>2336</v>
      </c>
      <c r="F980" s="154" t="str">
        <f>IF(wskakunin_KOUJI_SINTIKU=1,"■","□")</f>
        <v>■</v>
      </c>
    </row>
    <row r="981" spans="1:7" ht="15" customHeight="1">
      <c r="A981" s="7"/>
      <c r="B981" s="72" t="s">
        <v>460</v>
      </c>
      <c r="C981" s="14" t="s">
        <v>1136</v>
      </c>
      <c r="D981" s="154"/>
      <c r="E981" s="14" t="s">
        <v>2337</v>
      </c>
      <c r="F981" s="154" t="str">
        <f>IF(wskakunin_KOUJI_ZOUTIKU=1,"■","□")</f>
        <v>□</v>
      </c>
    </row>
    <row r="982" spans="1:7" ht="15" customHeight="1">
      <c r="A982" s="7"/>
      <c r="B982" s="72" t="s">
        <v>461</v>
      </c>
      <c r="C982" s="14" t="s">
        <v>1137</v>
      </c>
      <c r="D982" s="154"/>
      <c r="E982" s="14" t="s">
        <v>2338</v>
      </c>
      <c r="F982" s="154" t="str">
        <f>IF(wskakunin_KOUJI_KAITIKU=1,"■","□")</f>
        <v>□</v>
      </c>
    </row>
    <row r="983" spans="1:7" ht="15" customHeight="1">
      <c r="A983" s="7"/>
      <c r="B983" s="72" t="s">
        <v>462</v>
      </c>
      <c r="C983" s="14" t="s">
        <v>1138</v>
      </c>
      <c r="D983" s="154"/>
      <c r="E983" s="14" t="s">
        <v>2339</v>
      </c>
      <c r="F983" s="154" t="str">
        <f>IF(wskakunin_KOUJI_ITEN=1,"■","□")</f>
        <v>□</v>
      </c>
    </row>
    <row r="984" spans="1:7" ht="15" customHeight="1">
      <c r="A984" s="7"/>
      <c r="B984" s="72" t="s">
        <v>604</v>
      </c>
      <c r="C984" s="14" t="s">
        <v>1139</v>
      </c>
      <c r="D984" s="154"/>
      <c r="E984" s="14" t="s">
        <v>2340</v>
      </c>
      <c r="F984" s="154" t="str">
        <f>IF(wskakunin_KOUJI_YOUTOHENKOU=1,"■","□")</f>
        <v>□</v>
      </c>
      <c r="G984" s="14" t="s">
        <v>2330</v>
      </c>
    </row>
    <row r="985" spans="1:7" ht="15" customHeight="1">
      <c r="A985" s="7"/>
      <c r="B985" s="72" t="s">
        <v>1140</v>
      </c>
      <c r="C985" s="14" t="s">
        <v>1141</v>
      </c>
      <c r="D985" s="154"/>
      <c r="E985" s="14" t="s">
        <v>2341</v>
      </c>
      <c r="F985" s="154" t="str">
        <f>IF(wskakunin_KOUJI_DAI_SYUUZEN=1,"■","□")</f>
        <v>□</v>
      </c>
    </row>
    <row r="986" spans="1:7" ht="15" customHeight="1">
      <c r="A986" s="7"/>
      <c r="B986" s="72" t="s">
        <v>1142</v>
      </c>
      <c r="C986" s="14" t="s">
        <v>1143</v>
      </c>
      <c r="D986" s="154"/>
      <c r="E986" s="14" t="s">
        <v>2342</v>
      </c>
      <c r="F986" s="154" t="str">
        <f>IF(wskakunin_KOUJI_DAI_MOYOUGAE=1,"■","□")</f>
        <v>□</v>
      </c>
    </row>
    <row r="987" spans="1:7" ht="15" customHeight="1">
      <c r="A987" s="7"/>
      <c r="B987" s="72" t="s">
        <v>1144</v>
      </c>
      <c r="C987" s="14" t="s">
        <v>1145</v>
      </c>
      <c r="D987" s="154"/>
      <c r="E987" s="14" t="s">
        <v>2741</v>
      </c>
      <c r="F987" s="154" t="str">
        <f>IF(wskakuninKOUJI_SETUBI=1,"■","□")</f>
        <v>□</v>
      </c>
      <c r="G987" s="14" t="s">
        <v>2329</v>
      </c>
    </row>
    <row r="988" spans="1:7" ht="15" customHeight="1">
      <c r="A988" s="71"/>
      <c r="B988" s="72"/>
    </row>
    <row r="989" spans="1:7" ht="15" customHeight="1">
      <c r="A989" s="7" t="s">
        <v>2510</v>
      </c>
      <c r="B989" s="142"/>
      <c r="E989" s="156"/>
      <c r="F989" s="156"/>
    </row>
    <row r="990" spans="1:7" ht="15" customHeight="1">
      <c r="A990" s="7"/>
      <c r="B990" s="152" t="s">
        <v>2509</v>
      </c>
      <c r="C990" s="14" t="s">
        <v>2511</v>
      </c>
      <c r="D990" s="154"/>
      <c r="E990" s="14" t="s">
        <v>2515</v>
      </c>
      <c r="F990" s="154" t="str">
        <f>IF(wskakunin_gaiyou1_WORK_SYURUI_CODE="","",wskakunin_gaiyou1_WORK_SYURUI_CODE)</f>
        <v/>
      </c>
    </row>
    <row r="991" spans="1:7" ht="15" customHeight="1">
      <c r="A991" s="7"/>
      <c r="B991" s="152" t="s">
        <v>2519</v>
      </c>
      <c r="C991" s="14" t="s">
        <v>2512</v>
      </c>
      <c r="D991" s="154"/>
      <c r="E991" s="14" t="s">
        <v>2516</v>
      </c>
      <c r="F991" s="154" t="str">
        <f>IF(wskakunin_gaiyou1_WORK_SYURUI="","",wskakunin_gaiyou1_WORK_SYURUI)</f>
        <v/>
      </c>
    </row>
    <row r="992" spans="1:7" ht="15" customHeight="1">
      <c r="A992" s="7"/>
      <c r="B992" s="152" t="s">
        <v>2520</v>
      </c>
      <c r="C992" s="14" t="s">
        <v>2513</v>
      </c>
      <c r="D992" s="154"/>
      <c r="E992" s="14" t="s">
        <v>2517</v>
      </c>
      <c r="F992" s="154" t="str">
        <f>IF(wskakunin_gaiyou1_TAKASA="","",wskakunin_gaiyou1_TAKASA)</f>
        <v/>
      </c>
    </row>
    <row r="993" spans="1:6" ht="15" customHeight="1">
      <c r="A993" s="7"/>
      <c r="B993" s="152" t="s">
        <v>136</v>
      </c>
      <c r="C993" s="14" t="s">
        <v>2514</v>
      </c>
      <c r="D993" s="154"/>
      <c r="E993" s="14" t="s">
        <v>2518</v>
      </c>
      <c r="F993" s="154" t="str">
        <f>IF(wskakunin_gaiyou1_KOUZOU="","",wskakunin_gaiyou1_KOUZOU)</f>
        <v/>
      </c>
    </row>
    <row r="994" spans="1:6" ht="15" customHeight="1">
      <c r="A994" s="7"/>
      <c r="B994" s="75" t="s">
        <v>2666</v>
      </c>
      <c r="C994" s="14" t="s">
        <v>2667</v>
      </c>
      <c r="D994" s="44"/>
      <c r="E994" s="14" t="s">
        <v>2668</v>
      </c>
      <c r="F994" s="44" t="str">
        <f>IF(wskakunin_gaiyou1_KOUJI_SINTIKU=1,"■","□")</f>
        <v>□</v>
      </c>
    </row>
    <row r="995" spans="1:6" ht="15" customHeight="1">
      <c r="A995" s="7"/>
      <c r="B995" s="75" t="s">
        <v>2669</v>
      </c>
      <c r="C995" s="14" t="s">
        <v>2670</v>
      </c>
      <c r="D995" s="44"/>
      <c r="E995" s="14" t="s">
        <v>2671</v>
      </c>
      <c r="F995" s="44" t="str">
        <f>IF(wskakunin_gaiyou1_KOUJI_ZOUTIKU=1,"■","□")</f>
        <v>□</v>
      </c>
    </row>
    <row r="996" spans="1:6" ht="15" customHeight="1">
      <c r="A996" s="7"/>
      <c r="B996" s="75" t="s">
        <v>2672</v>
      </c>
      <c r="C996" s="14" t="s">
        <v>2673</v>
      </c>
      <c r="D996" s="44"/>
      <c r="E996" s="14" t="s">
        <v>2674</v>
      </c>
      <c r="F996" s="44" t="str">
        <f>IF(wskakunin_gaiyou1_KOUJI_KAITIKU=1,"■","□")</f>
        <v>□</v>
      </c>
    </row>
    <row r="997" spans="1:6" ht="15" customHeight="1">
      <c r="A997" s="7"/>
      <c r="B997" s="75" t="s">
        <v>2675</v>
      </c>
      <c r="C997" s="14" t="s">
        <v>2676</v>
      </c>
      <c r="D997" s="44"/>
      <c r="E997" s="14" t="s">
        <v>2677</v>
      </c>
      <c r="F997" s="44" t="str">
        <f>IF(wskakunin_gaiyou1_KOUJI_SONOTA=1,"■","□")</f>
        <v>□</v>
      </c>
    </row>
    <row r="998" spans="1:6" ht="15" customHeight="1">
      <c r="A998" s="7"/>
      <c r="B998" s="75" t="s">
        <v>2678</v>
      </c>
      <c r="C998" s="14" t="s">
        <v>2679</v>
      </c>
      <c r="D998" s="44"/>
      <c r="E998" s="14" t="s">
        <v>2680</v>
      </c>
      <c r="F998" s="44" t="str">
        <f>IF(wskakunin_gaiyou1_KOUJI_SONOTA_TEXT="","",wskakunin_gaiyou1_KOUJI_SONOTA_TEXT)</f>
        <v/>
      </c>
    </row>
    <row r="999" spans="1:6" ht="15" customHeight="1">
      <c r="A999" s="7"/>
      <c r="B999" s="152"/>
      <c r="D999" s="17"/>
      <c r="F999" s="17"/>
    </row>
    <row r="1000" spans="1:6" ht="15" customHeight="1">
      <c r="A1000" s="7"/>
      <c r="B1000" s="152" t="s">
        <v>2550</v>
      </c>
      <c r="C1000" s="14" t="s">
        <v>2556</v>
      </c>
      <c r="D1000" s="154"/>
      <c r="E1000" s="14" t="s">
        <v>2562</v>
      </c>
      <c r="F1000" s="154" t="str">
        <f>IF(wskakunin_gaiyou1_TIKUZOU_MENSEKI_SHINSEI="","",wskakunin_gaiyou1_TIKUZOU_MENSEKI_SHINSEI)</f>
        <v/>
      </c>
    </row>
    <row r="1001" spans="1:6" ht="15" customHeight="1">
      <c r="A1001" s="7"/>
      <c r="B1001" s="152" t="s">
        <v>2551</v>
      </c>
      <c r="C1001" s="14" t="s">
        <v>2557</v>
      </c>
      <c r="D1001" s="154"/>
      <c r="E1001" s="14" t="s">
        <v>2563</v>
      </c>
      <c r="F1001" s="154" t="str">
        <f>IF(wskakunin_gaiyou1_TIKUZOU_MENSEKI_IGAI="","",wskakunin_gaiyou1_TIKUZOU_MENSEKI_IGAI)</f>
        <v/>
      </c>
    </row>
    <row r="1002" spans="1:6" ht="15" customHeight="1">
      <c r="A1002" s="7"/>
      <c r="B1002" s="152" t="s">
        <v>2552</v>
      </c>
      <c r="C1002" s="14" t="s">
        <v>2558</v>
      </c>
      <c r="D1002" s="154"/>
      <c r="E1002" s="14" t="s">
        <v>2564</v>
      </c>
      <c r="F1002" s="154" t="str">
        <f>IF(wskakunin_gaiyou1_TIKUZOU_MENSEKI_TOTAL="","",wskakunin_gaiyou1_TIKUZOU_MENSEKI_TOTAL)</f>
        <v/>
      </c>
    </row>
    <row r="1003" spans="1:6" ht="15" customHeight="1">
      <c r="A1003" s="7"/>
      <c r="B1003" s="152" t="s">
        <v>2553</v>
      </c>
      <c r="C1003" s="14" t="s">
        <v>2559</v>
      </c>
      <c r="D1003" s="154"/>
      <c r="E1003" s="14" t="s">
        <v>2565</v>
      </c>
      <c r="F1003" s="154" t="str">
        <f>IF(wskakunin_gaiyou1_WORK_COUNT_SHINSEI="","",wskakunin_gaiyou1_WORK_COUNT_SHINSEI)</f>
        <v/>
      </c>
    </row>
    <row r="1004" spans="1:6" ht="15" customHeight="1">
      <c r="A1004" s="7"/>
      <c r="B1004" s="152" t="s">
        <v>2554</v>
      </c>
      <c r="C1004" s="14" t="s">
        <v>2560</v>
      </c>
      <c r="D1004" s="154"/>
      <c r="E1004" s="14" t="s">
        <v>2566</v>
      </c>
      <c r="F1004" s="154" t="str">
        <f>IF(wskakunin_gaiyou1_WORK_COUNT_IGAI="","",wskakunin_gaiyou1_WORK_COUNT_IGAI)</f>
        <v/>
      </c>
    </row>
    <row r="1005" spans="1:6" ht="15" customHeight="1">
      <c r="A1005" s="7"/>
      <c r="B1005" s="152" t="s">
        <v>2555</v>
      </c>
      <c r="C1005" s="14" t="s">
        <v>2561</v>
      </c>
      <c r="D1005" s="154"/>
      <c r="E1005" s="14" t="s">
        <v>2567</v>
      </c>
      <c r="F1005" s="154" t="str">
        <f>IF(wskakunin_gaiyou1_WORK_COUNT_TOTAL="","",wskakunin_gaiyou1_WORK_COUNT_TOTAL)</f>
        <v/>
      </c>
    </row>
    <row r="1006" spans="1:6" ht="15" customHeight="1">
      <c r="A1006" s="143"/>
      <c r="B1006" s="145"/>
      <c r="D1006" s="17"/>
    </row>
    <row r="1007" spans="1:6" ht="15" customHeight="1">
      <c r="A1007" s="7" t="s">
        <v>2521</v>
      </c>
      <c r="B1007" s="142"/>
      <c r="D1007" s="17"/>
    </row>
    <row r="1008" spans="1:6" ht="15" customHeight="1">
      <c r="A1008" s="7"/>
      <c r="B1008" s="152" t="s">
        <v>2522</v>
      </c>
      <c r="C1008" s="14" t="s">
        <v>2531</v>
      </c>
      <c r="D1008" s="154"/>
      <c r="E1008" s="14" t="s">
        <v>2540</v>
      </c>
      <c r="F1008" s="154" t="str">
        <f>IF(wskakunin_gaiyou1_NO="","",wskakunin_gaiyou1_NO)</f>
        <v/>
      </c>
    </row>
    <row r="1009" spans="1:6" ht="15" customHeight="1">
      <c r="A1009" s="7"/>
      <c r="B1009" s="152" t="s">
        <v>2523</v>
      </c>
      <c r="C1009" s="14" t="s">
        <v>2532</v>
      </c>
      <c r="D1009" s="154"/>
      <c r="E1009" s="14" t="s">
        <v>2541</v>
      </c>
      <c r="F1009" s="154" t="str">
        <f>IF(wskakunin_gaiyou1_EV_KIND="","",wskakunin_gaiyou1_EV_KIND)</f>
        <v/>
      </c>
    </row>
    <row r="1010" spans="1:6" ht="15" customHeight="1">
      <c r="A1010" s="7"/>
      <c r="B1010" s="152" t="s">
        <v>2524</v>
      </c>
      <c r="C1010" s="14" t="s">
        <v>2533</v>
      </c>
      <c r="D1010" s="154"/>
      <c r="E1010" s="14" t="s">
        <v>2542</v>
      </c>
      <c r="F1010" s="154" t="str">
        <f>IF(wskakunin_gaiyou1_YOUTO="","",wskakunin_gaiyou1_YOUTO)</f>
        <v/>
      </c>
    </row>
    <row r="1011" spans="1:6" ht="15" customHeight="1">
      <c r="A1011" s="7"/>
      <c r="B1011" s="152" t="s">
        <v>2525</v>
      </c>
      <c r="C1011" s="14" t="s">
        <v>2534</v>
      </c>
      <c r="D1011" s="154"/>
      <c r="E1011" s="14" t="s">
        <v>2543</v>
      </c>
      <c r="F1011" s="154" t="str">
        <f>IF(wskakunin_gaiyou1_SEKISAI="","",wskakunin_gaiyou1_SEKISAI)</f>
        <v/>
      </c>
    </row>
    <row r="1012" spans="1:6" ht="15" customHeight="1">
      <c r="A1012" s="7"/>
      <c r="B1012" s="152" t="s">
        <v>2526</v>
      </c>
      <c r="C1012" s="14" t="s">
        <v>2535</v>
      </c>
      <c r="D1012" s="154"/>
      <c r="E1012" s="14" t="s">
        <v>2544</v>
      </c>
      <c r="F1012" s="154" t="str">
        <f>IF(wskakunin_gaiyou1_TEIIN="","",wskakunin_gaiyou1_TEIIN)</f>
        <v/>
      </c>
    </row>
    <row r="1013" spans="1:6" ht="15" customHeight="1">
      <c r="A1013" s="7"/>
      <c r="B1013" s="152" t="s">
        <v>2527</v>
      </c>
      <c r="C1013" s="14" t="s">
        <v>2536</v>
      </c>
      <c r="D1013" s="154"/>
      <c r="E1013" s="14" t="s">
        <v>2545</v>
      </c>
      <c r="F1013" s="154" t="str">
        <f>IF(wskakunin_gaiyou1_SPEED="","",wskakunin_gaiyou1_SPEED)</f>
        <v/>
      </c>
    </row>
    <row r="1014" spans="1:6" ht="15" customHeight="1">
      <c r="A1014" s="7"/>
      <c r="B1014" s="152" t="s">
        <v>2528</v>
      </c>
      <c r="C1014" s="14" t="s">
        <v>2537</v>
      </c>
      <c r="D1014" s="154"/>
      <c r="E1014" s="14" t="s">
        <v>2546</v>
      </c>
      <c r="F1014" s="154" t="str">
        <f>IF(wskakunin_gaiyou1_SONOTA="","",wskakunin_gaiyou1_SONOTA)</f>
        <v/>
      </c>
    </row>
    <row r="1015" spans="1:6" ht="15" customHeight="1">
      <c r="A1015" s="7"/>
      <c r="B1015" s="152" t="s">
        <v>2529</v>
      </c>
      <c r="C1015" s="14" t="s">
        <v>2538</v>
      </c>
      <c r="D1015" s="154"/>
      <c r="E1015" s="14" t="s">
        <v>2547</v>
      </c>
      <c r="F1015" s="154" t="str">
        <f>IF(wskakunin_gaiyou1_NINSYOU_NO="","",wskakunin_gaiyou1_NINSYOU_NO)</f>
        <v/>
      </c>
    </row>
    <row r="1016" spans="1:6" ht="15" customHeight="1">
      <c r="A1016" s="7"/>
      <c r="B1016" s="152" t="s">
        <v>2530</v>
      </c>
      <c r="C1016" s="14" t="s">
        <v>2539</v>
      </c>
      <c r="D1016" s="154"/>
      <c r="E1016" s="14" t="s">
        <v>2548</v>
      </c>
      <c r="F1016" s="154" t="str">
        <f>IF(wskakunin_gaiyou1_SONOTA_and_NINSYOU_NO="","",wskakunin_gaiyou1_SONOTA_and_NINSYOU_NO)</f>
        <v/>
      </c>
    </row>
    <row r="1017" spans="1:6" ht="15" customHeight="1">
      <c r="A1017" s="7"/>
      <c r="B1017" s="145"/>
      <c r="D1017" s="17"/>
    </row>
    <row r="1018" spans="1:6" ht="15" customHeight="1">
      <c r="A1018" s="1" t="s">
        <v>605</v>
      </c>
      <c r="B1018" s="28"/>
      <c r="D1018" s="17"/>
      <c r="F1018" s="17"/>
    </row>
    <row r="1019" spans="1:6" ht="15" customHeight="1">
      <c r="A1019" s="7"/>
      <c r="B1019" s="72" t="s">
        <v>1146</v>
      </c>
      <c r="C1019" s="14" t="s">
        <v>1147</v>
      </c>
      <c r="D1019" s="259"/>
      <c r="E1019" s="14" t="s">
        <v>1148</v>
      </c>
      <c r="F1019" s="259" t="str">
        <f>IF(wskakunin_KENTIKU_MENSEKI_SHINSEI="", "", wskakunin_KENTIKU_MENSEKI_SHINSEI)</f>
        <v/>
      </c>
    </row>
    <row r="1020" spans="1:6" ht="15" customHeight="1">
      <c r="A1020" s="7"/>
      <c r="B1020" s="72" t="s">
        <v>606</v>
      </c>
      <c r="C1020" s="14" t="s">
        <v>1149</v>
      </c>
      <c r="D1020" s="259"/>
      <c r="E1020" s="14" t="s">
        <v>1150</v>
      </c>
      <c r="F1020" s="259" t="str">
        <f>IF(wskakunin_KENTIKU_MENSEKI_IGAI="","",wskakunin_KENTIKU_MENSEKI_IGAI)</f>
        <v/>
      </c>
    </row>
    <row r="1021" spans="1:6" ht="15" customHeight="1">
      <c r="A1021" s="7"/>
      <c r="B1021" s="72" t="s">
        <v>607</v>
      </c>
      <c r="C1021" s="14" t="s">
        <v>1151</v>
      </c>
      <c r="D1021" s="259"/>
      <c r="E1021" s="14" t="s">
        <v>1152</v>
      </c>
      <c r="F1021" s="259" t="str">
        <f>IF(wskakunin_KENTIKU_MENSEKI_TOTAL="","",wskakunin_KENTIKU_MENSEKI_TOTAL)</f>
        <v/>
      </c>
    </row>
    <row r="1022" spans="1:6" ht="15" customHeight="1">
      <c r="A1022" s="7"/>
      <c r="B1022" s="72" t="s">
        <v>601</v>
      </c>
      <c r="C1022" s="14" t="s">
        <v>1153</v>
      </c>
      <c r="D1022" s="259"/>
      <c r="E1022" s="14" t="s">
        <v>1154</v>
      </c>
      <c r="F1022" s="259" t="str">
        <f>IF(wskakunin_KENPEI_RITU="","",wskakunin_KENPEI_RITU)</f>
        <v/>
      </c>
    </row>
    <row r="1023" spans="1:6" ht="15" customHeight="1">
      <c r="A1023" s="143"/>
      <c r="B1023" s="145"/>
    </row>
    <row r="1024" spans="1:6" ht="15" customHeight="1">
      <c r="A1024" s="68" t="s">
        <v>608</v>
      </c>
      <c r="B1024" s="69"/>
      <c r="D1024" s="17"/>
      <c r="F1024" s="17"/>
    </row>
    <row r="1025" spans="1:6" ht="15" customHeight="1">
      <c r="A1025" s="7" t="s">
        <v>1365</v>
      </c>
      <c r="B1025" s="142"/>
      <c r="D1025" s="17"/>
      <c r="F1025" s="17"/>
    </row>
    <row r="1026" spans="1:6" ht="15" customHeight="1">
      <c r="A1026" s="7"/>
      <c r="B1026" s="72" t="s">
        <v>1146</v>
      </c>
      <c r="C1026" s="14" t="s">
        <v>1155</v>
      </c>
      <c r="D1026" s="258"/>
      <c r="E1026" s="14" t="s">
        <v>1156</v>
      </c>
      <c r="F1026" s="258" t="str">
        <f>IF(wskakunin_NOBE_MENSEKI_BUILD_SHINSEI="", "", wskakunin_NOBE_MENSEKI_BUILD_SHINSEI)</f>
        <v/>
      </c>
    </row>
    <row r="1027" spans="1:6" ht="15" customHeight="1">
      <c r="A1027" s="7"/>
      <c r="B1027" s="72" t="s">
        <v>606</v>
      </c>
      <c r="C1027" s="14" t="s">
        <v>1157</v>
      </c>
      <c r="D1027" s="258"/>
      <c r="E1027" s="14" t="s">
        <v>1158</v>
      </c>
      <c r="F1027" s="258" t="str">
        <f>IF(wskakunin_NOBE_MENSEKI_BUILD_IGAI="","",wskakunin_NOBE_MENSEKI_BUILD_IGAI)</f>
        <v/>
      </c>
    </row>
    <row r="1028" spans="1:6" ht="15" customHeight="1">
      <c r="A1028" s="7"/>
      <c r="B1028" s="72" t="s">
        <v>607</v>
      </c>
      <c r="C1028" s="14" t="s">
        <v>1159</v>
      </c>
      <c r="D1028" s="258"/>
      <c r="E1028" s="14" t="s">
        <v>1160</v>
      </c>
      <c r="F1028" s="258" t="str">
        <f>IF(wskakunin_NOBE_MENSEKI_BUILD_TOTAL="","",wskakunin_NOBE_MENSEKI_BUILD_TOTAL)</f>
        <v/>
      </c>
    </row>
    <row r="1029" spans="1:6" ht="15" customHeight="1">
      <c r="A1029" s="7"/>
      <c r="B1029" s="152"/>
      <c r="D1029" s="109"/>
      <c r="F1029" s="109"/>
    </row>
    <row r="1030" spans="1:6" ht="15" customHeight="1">
      <c r="A1030" s="45" t="s">
        <v>1366</v>
      </c>
      <c r="B1030" s="144"/>
      <c r="D1030" s="109"/>
      <c r="F1030" s="109"/>
    </row>
    <row r="1031" spans="1:6" ht="15" customHeight="1">
      <c r="A1031" s="7"/>
      <c r="B1031" s="72" t="s">
        <v>1146</v>
      </c>
      <c r="C1031" s="14" t="s">
        <v>1161</v>
      </c>
      <c r="D1031" s="258"/>
      <c r="E1031" s="14" t="s">
        <v>1162</v>
      </c>
      <c r="F1031" s="258" t="str">
        <f>IF(wskakunin_NOBE_MENSEKI_TIKAI_SHINSEI="","",wskakunin_NOBE_MENSEKI_TIKAI_SHINSEI)</f>
        <v/>
      </c>
    </row>
    <row r="1032" spans="1:6" ht="15" customHeight="1">
      <c r="A1032" s="7"/>
      <c r="B1032" s="72" t="s">
        <v>606</v>
      </c>
      <c r="C1032" s="14" t="s">
        <v>1163</v>
      </c>
      <c r="D1032" s="258"/>
      <c r="E1032" s="14" t="s">
        <v>1164</v>
      </c>
      <c r="F1032" s="258" t="str">
        <f>IF(wskakunin_NOBE_MENSEKI_TIKAI_IGAI="","",wskakunin_NOBE_MENSEKI_TIKAI_IGAI)</f>
        <v/>
      </c>
    </row>
    <row r="1033" spans="1:6" ht="15" customHeight="1">
      <c r="A1033" s="7"/>
      <c r="B1033" s="72" t="s">
        <v>607</v>
      </c>
      <c r="C1033" s="14" t="s">
        <v>1165</v>
      </c>
      <c r="D1033" s="258"/>
      <c r="E1033" s="14" t="s">
        <v>1166</v>
      </c>
      <c r="F1033" s="258" t="str">
        <f>IF(wskakunin_NOBE_MENSEKI_TIKAI_TOTAL="","",wskakunin_NOBE_MENSEKI_TIKAI_TOTAL)</f>
        <v/>
      </c>
    </row>
    <row r="1034" spans="1:6" ht="15" customHeight="1">
      <c r="A1034" s="71"/>
      <c r="B1034" s="72"/>
      <c r="D1034" s="109"/>
      <c r="F1034" s="109"/>
    </row>
    <row r="1035" spans="1:6" ht="15" customHeight="1">
      <c r="A1035" s="45" t="s">
        <v>1367</v>
      </c>
      <c r="B1035" s="144"/>
      <c r="D1035" s="109"/>
      <c r="F1035" s="109"/>
    </row>
    <row r="1036" spans="1:6" ht="15" customHeight="1">
      <c r="A1036" s="7"/>
      <c r="B1036" s="72" t="s">
        <v>1146</v>
      </c>
      <c r="C1036" s="14" t="s">
        <v>1167</v>
      </c>
      <c r="D1036" s="258"/>
      <c r="E1036" s="14" t="s">
        <v>1168</v>
      </c>
      <c r="F1036" s="258" t="str">
        <f>IF(wskakunin_NOBE_MENSEKI_SYOUKOURO_SHINSEI="","",wskakunin_NOBE_MENSEKI_SYOUKOURO_SHINSEI)</f>
        <v/>
      </c>
    </row>
    <row r="1037" spans="1:6" ht="15" customHeight="1">
      <c r="A1037" s="7"/>
      <c r="B1037" s="72" t="s">
        <v>606</v>
      </c>
      <c r="C1037" s="14" t="s">
        <v>1169</v>
      </c>
      <c r="D1037" s="258"/>
      <c r="E1037" s="14" t="s">
        <v>1170</v>
      </c>
      <c r="F1037" s="258" t="str">
        <f>IF(wskakunin_NOBE_MENSEKI_SYOUKOURO_IGAI="","",wskakunin_NOBE_MENSEKI_SYOUKOURO_IGAI)</f>
        <v/>
      </c>
    </row>
    <row r="1038" spans="1:6" ht="15" customHeight="1">
      <c r="A1038" s="7"/>
      <c r="B1038" s="72" t="s">
        <v>607</v>
      </c>
      <c r="C1038" s="14" t="s">
        <v>1171</v>
      </c>
      <c r="D1038" s="258"/>
      <c r="E1038" s="14" t="s">
        <v>1172</v>
      </c>
      <c r="F1038" s="258" t="str">
        <f>IF(wskakunin_NOBE_MENSEKI_SYOUKOURO_TOTAL="","",wskakunin_NOBE_MENSEKI_SYOUKOURO_TOTAL)</f>
        <v/>
      </c>
    </row>
    <row r="1039" spans="1:6" ht="15" customHeight="1">
      <c r="A1039" s="71"/>
      <c r="B1039" s="72"/>
      <c r="D1039" s="109"/>
      <c r="F1039" s="109"/>
    </row>
    <row r="1040" spans="1:6" ht="15" customHeight="1">
      <c r="A1040" s="45" t="s">
        <v>1368</v>
      </c>
      <c r="B1040" s="144"/>
      <c r="D1040" s="109"/>
      <c r="F1040" s="109"/>
    </row>
    <row r="1041" spans="1:6" ht="15" customHeight="1">
      <c r="A1041" s="7"/>
      <c r="B1041" s="72" t="s">
        <v>1146</v>
      </c>
      <c r="C1041" s="14" t="s">
        <v>1173</v>
      </c>
      <c r="D1041" s="258"/>
      <c r="E1041" s="14" t="s">
        <v>1174</v>
      </c>
      <c r="F1041" s="258" t="str">
        <f>IF(wskakunin_NOBE_MENSEKI_KYOYOU_SHINSEI="","",wskakunin_NOBE_MENSEKI_KYOYOU_SHINSEI)</f>
        <v/>
      </c>
    </row>
    <row r="1042" spans="1:6" ht="15" customHeight="1">
      <c r="A1042" s="7"/>
      <c r="B1042" s="72" t="s">
        <v>606</v>
      </c>
      <c r="C1042" s="14" t="s">
        <v>1175</v>
      </c>
      <c r="D1042" s="258"/>
      <c r="E1042" s="14" t="s">
        <v>1176</v>
      </c>
      <c r="F1042" s="258" t="str">
        <f>IF(wskakunin_NOBE_MENSEKI_KYOYOU_IGAI="","",wskakunin_NOBE_MENSEKI_KYOYOU_IGAI)</f>
        <v/>
      </c>
    </row>
    <row r="1043" spans="1:6" ht="15" customHeight="1">
      <c r="A1043" s="7"/>
      <c r="B1043" s="72" t="s">
        <v>607</v>
      </c>
      <c r="C1043" s="14" t="s">
        <v>1177</v>
      </c>
      <c r="D1043" s="258"/>
      <c r="E1043" s="14" t="s">
        <v>1178</v>
      </c>
      <c r="F1043" s="258" t="str">
        <f>IF(wskakunin_NOBE_MENSEKI_KYOYOU_TOTAL="","",wskakunin_NOBE_MENSEKI_KYOYOU_TOTAL)</f>
        <v/>
      </c>
    </row>
    <row r="1044" spans="1:6" ht="15" customHeight="1">
      <c r="A1044" s="71"/>
      <c r="B1044" s="72"/>
      <c r="D1044" s="109"/>
      <c r="F1044" s="109"/>
    </row>
    <row r="1045" spans="1:6" ht="15" customHeight="1">
      <c r="A1045" s="45" t="s">
        <v>1369</v>
      </c>
      <c r="B1045" s="144"/>
      <c r="D1045" s="109"/>
      <c r="F1045" s="109"/>
    </row>
    <row r="1046" spans="1:6" ht="15" customHeight="1">
      <c r="A1046" s="7"/>
      <c r="B1046" s="72" t="s">
        <v>1146</v>
      </c>
      <c r="C1046" s="14" t="s">
        <v>1179</v>
      </c>
      <c r="D1046" s="258"/>
      <c r="E1046" s="14" t="s">
        <v>1180</v>
      </c>
      <c r="F1046" s="258" t="str">
        <f>IF(wskakunin_NOBE_MENSEKI_SYAKO_SHINSEI="","",wskakunin_NOBE_MENSEKI_SYAKO_SHINSEI)</f>
        <v/>
      </c>
    </row>
    <row r="1047" spans="1:6" ht="15" customHeight="1">
      <c r="A1047" s="7"/>
      <c r="B1047" s="72" t="s">
        <v>606</v>
      </c>
      <c r="C1047" s="14" t="s">
        <v>1181</v>
      </c>
      <c r="D1047" s="258"/>
      <c r="E1047" s="14" t="s">
        <v>1182</v>
      </c>
      <c r="F1047" s="258" t="str">
        <f>IF(wskakunin_NOBE_MENSEKI_SYAKO_IGAI="","",wskakunin_NOBE_MENSEKI_SYAKO_IGAI)</f>
        <v/>
      </c>
    </row>
    <row r="1048" spans="1:6" ht="15" customHeight="1">
      <c r="A1048" s="7"/>
      <c r="B1048" s="72" t="s">
        <v>607</v>
      </c>
      <c r="C1048" s="14" t="s">
        <v>1183</v>
      </c>
      <c r="D1048" s="258"/>
      <c r="E1048" s="14" t="s">
        <v>1184</v>
      </c>
      <c r="F1048" s="258" t="str">
        <f>IF(wskakunin_NOBE_MENSEKI_SYAKO_TOTAL="","",wskakunin_NOBE_MENSEKI_SYAKO_TOTAL)</f>
        <v/>
      </c>
    </row>
    <row r="1049" spans="1:6" ht="15" customHeight="1">
      <c r="A1049" s="71"/>
      <c r="B1049" s="72"/>
      <c r="D1049" s="109"/>
      <c r="F1049" s="109"/>
    </row>
    <row r="1050" spans="1:6" ht="15" customHeight="1">
      <c r="A1050" s="45" t="s">
        <v>1370</v>
      </c>
      <c r="B1050" s="144"/>
      <c r="D1050" s="109"/>
      <c r="F1050" s="109"/>
    </row>
    <row r="1051" spans="1:6" ht="15" customHeight="1">
      <c r="A1051" s="7"/>
      <c r="B1051" s="72" t="s">
        <v>1146</v>
      </c>
      <c r="C1051" s="14" t="s">
        <v>1185</v>
      </c>
      <c r="D1051" s="258"/>
      <c r="E1051" s="14" t="s">
        <v>1186</v>
      </c>
      <c r="F1051" s="258" t="str">
        <f>IF(wskakunin_NOBE_MENSEKI_BITIKUSOUKO_SHINSEI="","",wskakunin_NOBE_MENSEKI_BITIKUSOUKO_SHINSEI)</f>
        <v/>
      </c>
    </row>
    <row r="1052" spans="1:6" ht="15" customHeight="1">
      <c r="A1052" s="7"/>
      <c r="B1052" s="72" t="s">
        <v>606</v>
      </c>
      <c r="C1052" s="14" t="s">
        <v>1187</v>
      </c>
      <c r="D1052" s="258"/>
      <c r="E1052" s="14" t="s">
        <v>1188</v>
      </c>
      <c r="F1052" s="258" t="str">
        <f>IF(wskakunin_NOBE_MENSEKI_BITIKUSOUKO_IGAI="","",wskakunin_NOBE_MENSEKI_BITIKUSOUKO_IGAI)</f>
        <v/>
      </c>
    </row>
    <row r="1053" spans="1:6" ht="15" customHeight="1">
      <c r="A1053" s="7"/>
      <c r="B1053" s="72" t="s">
        <v>607</v>
      </c>
      <c r="C1053" s="14" t="s">
        <v>1189</v>
      </c>
      <c r="D1053" s="258"/>
      <c r="E1053" s="14" t="s">
        <v>1190</v>
      </c>
      <c r="F1053" s="258" t="str">
        <f>IF(wskakunin_NOBE_MENSEKI_BITIKUSOUKO_TOTAL="","",wskakunin_NOBE_MENSEKI_BITIKUSOUKO_TOTAL)</f>
        <v/>
      </c>
    </row>
    <row r="1054" spans="1:6" ht="15" customHeight="1">
      <c r="A1054" s="71"/>
      <c r="B1054" s="72"/>
      <c r="D1054" s="109"/>
      <c r="F1054" s="109"/>
    </row>
    <row r="1055" spans="1:6" ht="15" customHeight="1">
      <c r="A1055" s="45" t="s">
        <v>1371</v>
      </c>
      <c r="B1055" s="144"/>
      <c r="D1055" s="109"/>
      <c r="F1055" s="109"/>
    </row>
    <row r="1056" spans="1:6" ht="15" customHeight="1">
      <c r="A1056" s="7"/>
      <c r="B1056" s="72" t="s">
        <v>1146</v>
      </c>
      <c r="C1056" s="14" t="s">
        <v>1191</v>
      </c>
      <c r="D1056" s="258"/>
      <c r="E1056" s="14" t="s">
        <v>1192</v>
      </c>
      <c r="F1056" s="258" t="str">
        <f>IF(wskakunin_NOBE_MENSEKI_TIKUDENTI_SHINSEI="","",wskakunin_NOBE_MENSEKI_TIKUDENTI_SHINSEI)</f>
        <v/>
      </c>
    </row>
    <row r="1057" spans="1:7" ht="15" customHeight="1">
      <c r="A1057" s="7"/>
      <c r="B1057" s="72" t="s">
        <v>606</v>
      </c>
      <c r="C1057" s="14" t="s">
        <v>1193</v>
      </c>
      <c r="D1057" s="258"/>
      <c r="E1057" s="14" t="s">
        <v>1194</v>
      </c>
      <c r="F1057" s="258" t="str">
        <f>IF(wskakunin_NOBE_MENSEKI_TIKUDENTI_IGAI="","",wskakunin_NOBE_MENSEKI_TIKUDENTI_IGAI)</f>
        <v/>
      </c>
    </row>
    <row r="1058" spans="1:7" ht="15" customHeight="1">
      <c r="A1058" s="7"/>
      <c r="B1058" s="72" t="s">
        <v>607</v>
      </c>
      <c r="C1058" s="14" t="s">
        <v>1195</v>
      </c>
      <c r="D1058" s="258"/>
      <c r="E1058" s="14" t="s">
        <v>1196</v>
      </c>
      <c r="F1058" s="258" t="str">
        <f>IF(wskakunin_NOBE_MENSEKI_TIKUDENTI_TOTAL="","",wskakunin_NOBE_MENSEKI_TIKUDENTI_TOTAL)</f>
        <v/>
      </c>
    </row>
    <row r="1059" spans="1:7" ht="15" customHeight="1">
      <c r="A1059" s="71"/>
      <c r="B1059" s="72"/>
      <c r="D1059" s="109"/>
      <c r="F1059" s="109"/>
    </row>
    <row r="1060" spans="1:7" ht="15" customHeight="1">
      <c r="A1060" s="45" t="s">
        <v>1372</v>
      </c>
      <c r="B1060" s="144"/>
      <c r="D1060" s="109"/>
      <c r="F1060" s="109"/>
    </row>
    <row r="1061" spans="1:7" ht="15" customHeight="1">
      <c r="A1061" s="7"/>
      <c r="B1061" s="72" t="s">
        <v>1146</v>
      </c>
      <c r="C1061" s="14" t="s">
        <v>1197</v>
      </c>
      <c r="D1061" s="258"/>
      <c r="E1061" s="14" t="s">
        <v>1198</v>
      </c>
      <c r="F1061" s="258" t="str">
        <f>IF(wskakunin_NOBE_MENSEKI_JIKAHATUDEN_SHINSEI="","",wskakunin_NOBE_MENSEKI_JIKAHATUDEN_SHINSEI)</f>
        <v/>
      </c>
    </row>
    <row r="1062" spans="1:7" ht="15" customHeight="1">
      <c r="A1062" s="7"/>
      <c r="B1062" s="72" t="s">
        <v>606</v>
      </c>
      <c r="C1062" s="14" t="s">
        <v>1199</v>
      </c>
      <c r="D1062" s="258"/>
      <c r="E1062" s="14" t="s">
        <v>1200</v>
      </c>
      <c r="F1062" s="258" t="str">
        <f>IF(wskakunin_NOBE_MENSEKI_JIKAHATUDEN_IGAI="","",wskakunin_NOBE_MENSEKI_JIKAHATUDEN_IGAI)</f>
        <v/>
      </c>
      <c r="G1062" s="14" t="s">
        <v>616</v>
      </c>
    </row>
    <row r="1063" spans="1:7" ht="15" customHeight="1">
      <c r="A1063" s="7"/>
      <c r="B1063" s="72" t="s">
        <v>607</v>
      </c>
      <c r="C1063" s="14" t="s">
        <v>1201</v>
      </c>
      <c r="D1063" s="258"/>
      <c r="E1063" s="14" t="s">
        <v>1202</v>
      </c>
      <c r="F1063" s="258" t="str">
        <f>IF(wskakunin_NOBE_MENSEKI_JIKAHATUDEN_TOTAL="","",wskakunin_NOBE_MENSEKI_JIKAHATUDEN_TOTAL)</f>
        <v/>
      </c>
      <c r="G1063" s="14" t="s">
        <v>617</v>
      </c>
    </row>
    <row r="1064" spans="1:7" ht="15" customHeight="1">
      <c r="A1064" s="71"/>
      <c r="B1064" s="72"/>
      <c r="D1064" s="109"/>
      <c r="F1064" s="109"/>
    </row>
    <row r="1065" spans="1:7" ht="15" customHeight="1">
      <c r="A1065" s="45" t="s">
        <v>1373</v>
      </c>
      <c r="B1065" s="144"/>
      <c r="D1065" s="109"/>
      <c r="F1065" s="109"/>
    </row>
    <row r="1066" spans="1:7" ht="15" customHeight="1">
      <c r="A1066" s="7"/>
      <c r="B1066" s="72" t="s">
        <v>1146</v>
      </c>
      <c r="C1066" s="14" t="s">
        <v>1203</v>
      </c>
      <c r="D1066" s="258"/>
      <c r="E1066" s="14" t="s">
        <v>1204</v>
      </c>
      <c r="F1066" s="258" t="str">
        <f>IF(wskakunin_NOBE_MENSEKI_CHOSUISOU_SHINSEI="","",wskakunin_NOBE_MENSEKI_CHOSUISOU_SHINSEI)</f>
        <v/>
      </c>
      <c r="G1066" s="14" t="s">
        <v>616</v>
      </c>
    </row>
    <row r="1067" spans="1:7" ht="15" customHeight="1">
      <c r="A1067" s="7"/>
      <c r="B1067" s="72" t="s">
        <v>606</v>
      </c>
      <c r="C1067" s="14" t="s">
        <v>1205</v>
      </c>
      <c r="D1067" s="258"/>
      <c r="E1067" s="14" t="s">
        <v>1206</v>
      </c>
      <c r="F1067" s="258" t="str">
        <f>IF(wskakunin_NOBE_MENSEKI_CHOSUISOU_IGAI="","",wskakunin_NOBE_MENSEKI_CHOSUISOU_IGAI)</f>
        <v/>
      </c>
      <c r="G1067" s="14" t="s">
        <v>616</v>
      </c>
    </row>
    <row r="1068" spans="1:7" ht="15" customHeight="1">
      <c r="A1068" s="7"/>
      <c r="B1068" s="72" t="s">
        <v>607</v>
      </c>
      <c r="C1068" s="14" t="s">
        <v>1207</v>
      </c>
      <c r="D1068" s="258"/>
      <c r="E1068" s="14" t="s">
        <v>1208</v>
      </c>
      <c r="F1068" s="258" t="str">
        <f>IF(wskakunin_NOBE_MENSEKI_CHOSUISOU_TOTAL="","",wskakunin_NOBE_MENSEKI_CHOSUISOU_TOTAL)</f>
        <v/>
      </c>
      <c r="G1068" s="14" t="s">
        <v>616</v>
      </c>
    </row>
    <row r="1069" spans="1:7" ht="15" customHeight="1">
      <c r="A1069" s="71"/>
      <c r="B1069" s="72"/>
      <c r="D1069" s="109"/>
      <c r="F1069" s="109"/>
    </row>
    <row r="1070" spans="1:7" ht="15" customHeight="1">
      <c r="A1070" s="499" t="s">
        <v>2497</v>
      </c>
      <c r="B1070" s="500"/>
      <c r="D1070" s="109"/>
      <c r="F1070" s="109"/>
    </row>
    <row r="1071" spans="1:7" ht="15" customHeight="1">
      <c r="A1071" s="7"/>
      <c r="B1071" s="72" t="s">
        <v>1146</v>
      </c>
      <c r="C1071" s="14" t="s">
        <v>2498</v>
      </c>
      <c r="D1071" s="258"/>
      <c r="E1071" s="14" t="s">
        <v>2501</v>
      </c>
      <c r="F1071" s="258" t="str">
        <f>IF(wskakunin_NOBE_MENSEKI_TAKUHAI_SHINSEI="","",wskakunin_NOBE_MENSEKI_TAKUHAI_SHINSEI)</f>
        <v/>
      </c>
    </row>
    <row r="1072" spans="1:7" ht="15" customHeight="1">
      <c r="A1072" s="7"/>
      <c r="B1072" s="72" t="s">
        <v>606</v>
      </c>
      <c r="C1072" s="14" t="s">
        <v>2499</v>
      </c>
      <c r="D1072" s="258"/>
      <c r="E1072" s="14" t="s">
        <v>2502</v>
      </c>
      <c r="F1072" s="258" t="str">
        <f>IF(wskakunin_NOBE_MENSEKI_TAKUHAI_IGAI="","",wskakunin_NOBE_MENSEKI_TAKUHAI_IGAI)</f>
        <v/>
      </c>
    </row>
    <row r="1073" spans="1:6" ht="15" customHeight="1">
      <c r="A1073" s="7"/>
      <c r="B1073" s="72" t="s">
        <v>607</v>
      </c>
      <c r="C1073" s="14" t="s">
        <v>2500</v>
      </c>
      <c r="D1073" s="258"/>
      <c r="E1073" s="14" t="s">
        <v>2503</v>
      </c>
      <c r="F1073" s="258" t="str">
        <f>IF(wskakunin_NOBE_MENSEKI_TAKUHAI_TOTAL="","",wskakunin_NOBE_MENSEKI_TAKUHAI_TOTAL)</f>
        <v/>
      </c>
    </row>
    <row r="1074" spans="1:6" ht="15" customHeight="1">
      <c r="A1074" s="7"/>
      <c r="B1074" s="72"/>
      <c r="D1074" s="109"/>
      <c r="F1074" s="109"/>
    </row>
    <row r="1075" spans="1:6" ht="15" customHeight="1">
      <c r="A1075" s="45" t="s">
        <v>1374</v>
      </c>
      <c r="B1075" s="144"/>
      <c r="D1075" s="109"/>
      <c r="F1075" s="109"/>
    </row>
    <row r="1076" spans="1:6" ht="15" customHeight="1">
      <c r="A1076" s="7"/>
      <c r="B1076" s="72" t="s">
        <v>1146</v>
      </c>
      <c r="C1076" s="14" t="s">
        <v>1209</v>
      </c>
      <c r="D1076" s="259"/>
      <c r="E1076" s="14" t="s">
        <v>1210</v>
      </c>
      <c r="F1076" s="259" t="str">
        <f>IF(wskakunin_NOBE_MENSEKI_JYUTAKU_SHINSEI="", "", wskakunin_NOBE_MENSEKI_JYUTAKU_SHINSEI)</f>
        <v/>
      </c>
    </row>
    <row r="1077" spans="1:6" ht="15" customHeight="1">
      <c r="A1077" s="7"/>
      <c r="B1077" s="72" t="s">
        <v>606</v>
      </c>
      <c r="C1077" s="14" t="s">
        <v>1211</v>
      </c>
      <c r="D1077" s="258"/>
      <c r="E1077" s="14" t="s">
        <v>1212</v>
      </c>
      <c r="F1077" s="258" t="str">
        <f>IF(wskakunin_NOBE_MENSEKI_JYUTAKU_IGAI="","",wskakunin_NOBE_MENSEKI_JYUTAKU_IGAI)</f>
        <v/>
      </c>
    </row>
    <row r="1078" spans="1:6" ht="15" customHeight="1">
      <c r="A1078" s="7"/>
      <c r="B1078" s="72" t="s">
        <v>607</v>
      </c>
      <c r="C1078" s="14" t="s">
        <v>1213</v>
      </c>
      <c r="D1078" s="258"/>
      <c r="E1078" s="14" t="s">
        <v>1214</v>
      </c>
      <c r="F1078" s="258" t="str">
        <f>IF(wskakunin_NOBE_MENSEKI_JYUTAKU_TOTAL="","",wskakunin_NOBE_MENSEKI_JYUTAKU_TOTAL)</f>
        <v/>
      </c>
    </row>
    <row r="1079" spans="1:6" ht="15" customHeight="1">
      <c r="A1079" s="71"/>
      <c r="B1079" s="72"/>
      <c r="D1079" s="109"/>
      <c r="F1079" s="109"/>
    </row>
    <row r="1080" spans="1:6" ht="15" customHeight="1">
      <c r="A1080" s="45" t="s">
        <v>1375</v>
      </c>
      <c r="B1080" s="144"/>
      <c r="D1080" s="109"/>
      <c r="F1080" s="109"/>
    </row>
    <row r="1081" spans="1:6" ht="15" customHeight="1">
      <c r="A1081" s="7"/>
      <c r="B1081" s="72" t="s">
        <v>1146</v>
      </c>
      <c r="C1081" s="14" t="s">
        <v>1215</v>
      </c>
      <c r="D1081" s="258"/>
      <c r="E1081" s="14" t="s">
        <v>1216</v>
      </c>
      <c r="F1081" s="258" t="str">
        <f>IF(wskakunin_NOBE_MENSEKI_ROUJIN_SHINSEI="","",wskakunin_NOBE_MENSEKI_ROUJIN_SHINSEI)</f>
        <v/>
      </c>
    </row>
    <row r="1082" spans="1:6" ht="15" customHeight="1">
      <c r="A1082" s="7"/>
      <c r="B1082" s="72" t="s">
        <v>606</v>
      </c>
      <c r="C1082" s="14" t="s">
        <v>1217</v>
      </c>
      <c r="D1082" s="258"/>
      <c r="E1082" s="14" t="s">
        <v>1218</v>
      </c>
      <c r="F1082" s="258" t="str">
        <f>IF(wskakunin_NOBE_MENSEKI_ROUJIN_IGAI="","",wskakunin_NOBE_MENSEKI_ROUJIN_IGAI)</f>
        <v/>
      </c>
    </row>
    <row r="1083" spans="1:6" ht="15" customHeight="1">
      <c r="A1083" s="7"/>
      <c r="B1083" s="72" t="s">
        <v>607</v>
      </c>
      <c r="C1083" s="14" t="s">
        <v>1219</v>
      </c>
      <c r="D1083" s="258"/>
      <c r="E1083" s="14" t="s">
        <v>1220</v>
      </c>
      <c r="F1083" s="258" t="str">
        <f>IF(wskakunin_NOBE_MENSEKI_ROUJIN_TOTAL="","",wskakunin_NOBE_MENSEKI_ROUJIN_TOTAL)</f>
        <v/>
      </c>
    </row>
    <row r="1084" spans="1:6" ht="15" customHeight="1">
      <c r="A1084" s="71"/>
      <c r="B1084" s="72"/>
      <c r="D1084" s="109"/>
      <c r="F1084" s="109"/>
    </row>
    <row r="1085" spans="1:6" ht="15" customHeight="1">
      <c r="A1085" s="45" t="s">
        <v>1376</v>
      </c>
      <c r="B1085" s="144"/>
      <c r="D1085" s="109"/>
      <c r="F1085" s="109"/>
    </row>
    <row r="1086" spans="1:6" ht="15" customHeight="1">
      <c r="A1086" s="7"/>
      <c r="B1086" s="72" t="s">
        <v>607</v>
      </c>
      <c r="C1086" s="14" t="s">
        <v>1221</v>
      </c>
      <c r="D1086" s="258"/>
      <c r="E1086" s="14" t="s">
        <v>1222</v>
      </c>
      <c r="F1086" s="258" t="str">
        <f>IF(wskakunin_NOBE_MENSEKI="","",wskakunin_NOBE_MENSEKI)</f>
        <v/>
      </c>
    </row>
    <row r="1087" spans="1:6" ht="15" customHeight="1">
      <c r="A1087" s="71"/>
      <c r="B1087" s="72"/>
      <c r="D1087" s="109"/>
      <c r="F1087" s="109"/>
    </row>
    <row r="1088" spans="1:6" ht="15" customHeight="1">
      <c r="A1088" s="45" t="s">
        <v>200</v>
      </c>
      <c r="B1088" s="144"/>
      <c r="D1088" s="109"/>
      <c r="F1088" s="109"/>
    </row>
    <row r="1089" spans="1:6" ht="15" customHeight="1">
      <c r="A1089" s="7"/>
      <c r="B1089" s="72" t="s">
        <v>607</v>
      </c>
      <c r="C1089" s="14" t="s">
        <v>1223</v>
      </c>
      <c r="D1089" s="258"/>
      <c r="E1089" s="14" t="s">
        <v>1224</v>
      </c>
      <c r="F1089" s="258" t="str">
        <f>IF(wskakunin_YOUSEKI_RITU="","",wskakunin_YOUSEKI_RITU)</f>
        <v/>
      </c>
    </row>
    <row r="1090" spans="1:6" ht="15" customHeight="1">
      <c r="A1090" s="71"/>
      <c r="B1090" s="72"/>
      <c r="D1090" s="109"/>
      <c r="F1090" s="109"/>
    </row>
    <row r="1091" spans="1:6" ht="15" customHeight="1">
      <c r="A1091" s="7" t="s">
        <v>609</v>
      </c>
      <c r="B1091" s="142"/>
      <c r="D1091" s="17"/>
      <c r="F1091" s="17"/>
    </row>
    <row r="1092" spans="1:6" ht="15" customHeight="1">
      <c r="A1092" s="7"/>
      <c r="B1092" s="72" t="s">
        <v>1225</v>
      </c>
      <c r="C1092" s="14" t="s">
        <v>1226</v>
      </c>
      <c r="D1092" s="154"/>
      <c r="E1092" s="14" t="s">
        <v>1227</v>
      </c>
      <c r="F1092" s="154" t="str">
        <f>IF(wskakunin_BUILD_SHINSEI_COUNT="","",wskakunin_BUILD_SHINSEI_COUNT)</f>
        <v/>
      </c>
    </row>
    <row r="1093" spans="1:6" ht="15" customHeight="1">
      <c r="A1093" s="7"/>
      <c r="B1093" s="72" t="s">
        <v>1228</v>
      </c>
      <c r="C1093" s="14" t="s">
        <v>1229</v>
      </c>
      <c r="D1093" s="154"/>
      <c r="E1093" s="14" t="s">
        <v>1230</v>
      </c>
      <c r="F1093" s="154" t="str">
        <f>IF(wskakunin_BUILD_SONOTA_COUNT="","",wskakunin_BUILD_SONOTA_COUNT)</f>
        <v/>
      </c>
    </row>
    <row r="1094" spans="1:6" ht="15" customHeight="1">
      <c r="A1094" s="8"/>
      <c r="B1094" s="73"/>
      <c r="D1094" s="17"/>
      <c r="F1094" s="17"/>
    </row>
    <row r="1095" spans="1:6" ht="15" customHeight="1">
      <c r="A1095" s="68" t="s">
        <v>610</v>
      </c>
      <c r="B1095" s="69"/>
      <c r="D1095" s="17"/>
      <c r="F1095" s="17"/>
    </row>
    <row r="1096" spans="1:6" ht="15" customHeight="1">
      <c r="A1096" s="45" t="s">
        <v>710</v>
      </c>
      <c r="B1096" s="70"/>
      <c r="D1096" s="17"/>
      <c r="F1096" s="17"/>
    </row>
    <row r="1097" spans="1:6" ht="15" customHeight="1">
      <c r="A1097" s="7"/>
      <c r="B1097" s="72" t="s">
        <v>1231</v>
      </c>
      <c r="C1097" s="14" t="s">
        <v>1232</v>
      </c>
      <c r="D1097" s="257"/>
      <c r="E1097" s="14" t="s">
        <v>1233</v>
      </c>
      <c r="F1097" s="257" t="str">
        <f>IF(wskakunin_TAKASA_MAX_SHINSEI="","",wskakunin_TAKASA_MAX_SHINSEI)</f>
        <v/>
      </c>
    </row>
    <row r="1098" spans="1:6" ht="15" customHeight="1">
      <c r="A1098" s="71"/>
      <c r="B1098" s="72" t="s">
        <v>611</v>
      </c>
      <c r="C1098" s="14" t="s">
        <v>1234</v>
      </c>
      <c r="D1098" s="257"/>
      <c r="E1098" s="14" t="s">
        <v>1235</v>
      </c>
      <c r="F1098" s="257" t="str">
        <f>IF(wskakunin_TAKASA_MAX_SONOTA="","",wskakunin_TAKASA_MAX_SONOTA)</f>
        <v/>
      </c>
    </row>
    <row r="1099" spans="1:6" ht="15" customHeight="1">
      <c r="A1099" s="45" t="s">
        <v>711</v>
      </c>
      <c r="B1099" s="70"/>
      <c r="D1099" s="17"/>
      <c r="F1099" s="17"/>
    </row>
    <row r="1100" spans="1:6" ht="15" customHeight="1">
      <c r="A1100" s="7"/>
      <c r="B1100" s="72" t="s">
        <v>1231</v>
      </c>
      <c r="C1100" s="14" t="s">
        <v>1236</v>
      </c>
      <c r="D1100" s="240"/>
      <c r="E1100" s="14" t="s">
        <v>1237</v>
      </c>
      <c r="F1100" s="154" t="str">
        <f>IF(wskakunin_KAISU_TIJYOU_SHINSEI="", "", wskakunin_KAISU_TIJYOU_SHINSEI)</f>
        <v/>
      </c>
    </row>
    <row r="1101" spans="1:6" ht="15" customHeight="1">
      <c r="A1101" s="71"/>
      <c r="B1101" s="72" t="s">
        <v>611</v>
      </c>
      <c r="C1101" s="14" t="s">
        <v>1238</v>
      </c>
      <c r="D1101" s="154"/>
      <c r="E1101" s="14" t="s">
        <v>1239</v>
      </c>
      <c r="F1101" s="154" t="str">
        <f>IF(wskakunin_KAISU_TIJYOU_SONOTA="","",wskakunin_KAISU_TIJYOU_SONOTA)</f>
        <v/>
      </c>
    </row>
    <row r="1102" spans="1:6" ht="15" customHeight="1">
      <c r="A1102" s="45" t="s">
        <v>712</v>
      </c>
      <c r="B1102" s="70"/>
      <c r="D1102" s="17"/>
      <c r="F1102" s="17"/>
    </row>
    <row r="1103" spans="1:6" ht="15" customHeight="1">
      <c r="A1103" s="7"/>
      <c r="B1103" s="72" t="s">
        <v>1231</v>
      </c>
      <c r="C1103" s="14" t="s">
        <v>1240</v>
      </c>
      <c r="D1103" s="240" t="s">
        <v>3277</v>
      </c>
      <c r="E1103" s="14" t="s">
        <v>1241</v>
      </c>
      <c r="F1103" s="154" t="str">
        <f>IF(wskakunin_KAISU_TIKA_SHINSEI__zero="", "", wskakunin_KAISU_TIKA_SHINSEI__zero)</f>
        <v>0</v>
      </c>
    </row>
    <row r="1104" spans="1:6" ht="15" customHeight="1">
      <c r="A1104" s="71"/>
      <c r="B1104" s="72" t="s">
        <v>611</v>
      </c>
      <c r="C1104" s="14" t="s">
        <v>1242</v>
      </c>
      <c r="D1104" s="154"/>
      <c r="E1104" s="14" t="s">
        <v>1243</v>
      </c>
      <c r="F1104" s="154" t="str">
        <f>IF(wskakunin_KAISU_TIKA_SONOTA="","",wskakunin_KAISU_TIKA_SONOTA)</f>
        <v/>
      </c>
    </row>
    <row r="1105" spans="1:6" ht="15" customHeight="1">
      <c r="A1105" s="45" t="s">
        <v>136</v>
      </c>
      <c r="B1105" s="70"/>
      <c r="D1105" s="17"/>
      <c r="F1105" s="17"/>
    </row>
    <row r="1106" spans="1:6" ht="15" customHeight="1">
      <c r="A1106" s="7"/>
      <c r="B1106" s="72" t="s">
        <v>136</v>
      </c>
      <c r="C1106" s="14" t="s">
        <v>1244</v>
      </c>
      <c r="D1106" s="154"/>
      <c r="E1106" s="14" t="s">
        <v>1245</v>
      </c>
      <c r="F1106" s="154" t="str">
        <f>IF(wskakunin_KOUZOU1="","",wskakunin_KOUZOU1)</f>
        <v/>
      </c>
    </row>
    <row r="1107" spans="1:6" ht="15" customHeight="1">
      <c r="A1107" s="7"/>
      <c r="B1107" s="72" t="s">
        <v>612</v>
      </c>
      <c r="C1107" s="14" t="s">
        <v>1246</v>
      </c>
      <c r="D1107" s="154"/>
      <c r="E1107" s="14" t="s">
        <v>1247</v>
      </c>
      <c r="F1107" s="154" t="str">
        <f>IF(wskakunin_KOUZOU2="","",wskakunin_KOUZOU2)</f>
        <v/>
      </c>
    </row>
    <row r="1108" spans="1:6" ht="15" customHeight="1">
      <c r="A1108" s="7"/>
      <c r="B1108" s="72"/>
      <c r="E1108" s="14" t="s">
        <v>2495</v>
      </c>
      <c r="F1108" s="14" t="str">
        <f>IF(OR(LEFT(wskakunin_KOUZOU1,2)="木造",LEFT(wskakunin_KOUZOU2,2)="木造"),"○","")</f>
        <v/>
      </c>
    </row>
    <row r="1109" spans="1:6" ht="15" customHeight="1">
      <c r="A1109" s="87"/>
      <c r="B1109" s="72"/>
      <c r="D1109" s="17"/>
      <c r="E1109" s="14" t="s">
        <v>2496</v>
      </c>
      <c r="F1109" s="17"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10" spans="1:6" ht="15" customHeight="1">
      <c r="A1110" s="7"/>
      <c r="B1110" s="142"/>
      <c r="D1110" s="17"/>
      <c r="E1110" s="14" t="s">
        <v>2661</v>
      </c>
      <c r="F1110" s="154" t="str">
        <f>IF(cst_wskakunin_KOUZOU1="","",IF(AND(cst_wskakunin_KOUZOU1&lt;&gt;"",cst_wskakunin_KOUZOU2&lt;&gt;""),cst_wskakunin_KOUZOU1&amp;" 一部 "&amp;cst_wskakunin_KOUZOU2,cst_wskakunin_KOUZOU1))</f>
        <v/>
      </c>
    </row>
    <row r="1111" spans="1:6" ht="15" customHeight="1">
      <c r="A1111" s="7" t="s">
        <v>613</v>
      </c>
      <c r="B1111" s="29"/>
    </row>
    <row r="1112" spans="1:6" ht="15" customHeight="1">
      <c r="A1112" s="7"/>
      <c r="B1112" s="72" t="s">
        <v>714</v>
      </c>
      <c r="C1112" s="14" t="s">
        <v>1248</v>
      </c>
      <c r="D1112" s="154"/>
      <c r="E1112" s="14" t="s">
        <v>1249</v>
      </c>
      <c r="F1112" s="154" t="str">
        <f>IF(wskakunin_TOKUREI_TAKASA=1,"有","無")</f>
        <v>無</v>
      </c>
    </row>
    <row r="1113" spans="1:6" ht="15" customHeight="1">
      <c r="A1113" s="7"/>
      <c r="B1113" s="72" t="s">
        <v>715</v>
      </c>
      <c r="D1113" s="17"/>
      <c r="E1113" s="14" t="s">
        <v>717</v>
      </c>
      <c r="F1113" s="154" t="str">
        <f>IF(wskakunin_TOKUREI_TAKASA=1,"■","□")</f>
        <v>□</v>
      </c>
    </row>
    <row r="1114" spans="1:6" ht="15" customHeight="1">
      <c r="A1114" s="7"/>
      <c r="B1114" s="72" t="s">
        <v>716</v>
      </c>
      <c r="D1114" s="17"/>
      <c r="E1114" s="14" t="s">
        <v>1250</v>
      </c>
      <c r="F1114" s="154" t="str">
        <f>IF(wskakunin_TOKUREI_TAKASA="","□",IF(wskakunin_TOKUREI_TAKASA=0,"■","□"))</f>
        <v>□</v>
      </c>
    </row>
    <row r="1115" spans="1:6" ht="15" customHeight="1">
      <c r="A1115" s="7"/>
      <c r="B1115" s="72"/>
      <c r="D1115" s="17"/>
      <c r="F1115" s="17"/>
    </row>
    <row r="1116" spans="1:6" ht="15" customHeight="1">
      <c r="A1116" s="45" t="s">
        <v>713</v>
      </c>
      <c r="B1116" s="70"/>
      <c r="D1116" s="17"/>
      <c r="F1116" s="17"/>
    </row>
    <row r="1117" spans="1:6" ht="15" customHeight="1">
      <c r="A1117" s="7"/>
      <c r="B1117" s="72" t="s">
        <v>1251</v>
      </c>
      <c r="C1117" s="14" t="s">
        <v>1252</v>
      </c>
      <c r="D1117" s="154"/>
      <c r="E1117" s="14" t="s">
        <v>1253</v>
      </c>
      <c r="F1117" s="154" t="str">
        <f>IF(wskakunin_TOKUREI_TAKASA_DOURO=1,"■","□")</f>
        <v>□</v>
      </c>
    </row>
    <row r="1118" spans="1:6" ht="15" customHeight="1">
      <c r="A1118" s="7"/>
      <c r="B1118" s="72" t="s">
        <v>1254</v>
      </c>
      <c r="C1118" s="14" t="s">
        <v>1255</v>
      </c>
      <c r="D1118" s="154"/>
      <c r="E1118" s="14" t="s">
        <v>1256</v>
      </c>
      <c r="F1118" s="154" t="str">
        <f>IF(wskakunin_TOKUREI_TAKASA_RINTI=1,"■","□")</f>
        <v>□</v>
      </c>
    </row>
    <row r="1119" spans="1:6" ht="15" customHeight="1">
      <c r="A1119" s="7"/>
      <c r="B1119" s="72" t="s">
        <v>1257</v>
      </c>
      <c r="C1119" s="14" t="s">
        <v>1258</v>
      </c>
      <c r="D1119" s="154"/>
      <c r="E1119" s="14" t="s">
        <v>1259</v>
      </c>
      <c r="F1119" s="154" t="str">
        <f>IF(wskakunin_TOKUREI_TAKASA_KITA=1,"■","□")</f>
        <v>□</v>
      </c>
    </row>
    <row r="1120" spans="1:6" ht="15" customHeight="1">
      <c r="A1120" s="8"/>
      <c r="B1120" s="73"/>
      <c r="D1120" s="17"/>
      <c r="F1120" s="17"/>
    </row>
    <row r="1121" spans="1:6" ht="15" customHeight="1">
      <c r="A1121" s="88" t="s">
        <v>614</v>
      </c>
      <c r="B1121" s="97"/>
      <c r="C1121" s="14" t="s">
        <v>1323</v>
      </c>
    </row>
    <row r="1122" spans="1:6" ht="15" customHeight="1">
      <c r="A1122" s="93" t="s">
        <v>1267</v>
      </c>
      <c r="B1122" s="147"/>
    </row>
    <row r="1123" spans="1:6" ht="15" customHeight="1">
      <c r="A1123" s="90"/>
      <c r="B1123" s="83" t="s">
        <v>1324</v>
      </c>
      <c r="C1123" s="14" t="s">
        <v>1329</v>
      </c>
      <c r="D1123" s="240"/>
      <c r="E1123" s="14" t="s">
        <v>1347</v>
      </c>
      <c r="F1123" s="154" t="str">
        <f>IF(wskakunin_kyoka01_HOUREI="","",wskakunin_kyoka01_HOUREI)</f>
        <v/>
      </c>
    </row>
    <row r="1124" spans="1:6" ht="15" customHeight="1">
      <c r="A1124" s="90"/>
      <c r="B1124" s="83" t="s">
        <v>1325</v>
      </c>
      <c r="C1124" s="14" t="s">
        <v>1328</v>
      </c>
      <c r="D1124" s="240"/>
      <c r="E1124" s="14" t="s">
        <v>2712</v>
      </c>
      <c r="F1124" s="154" t="str">
        <f>IF(wskakunin_kyoka01_JOUKOU="","",wskakunin_kyoka01_JOUKOU)</f>
        <v/>
      </c>
    </row>
    <row r="1125" spans="1:6" ht="15" customHeight="1">
      <c r="A1125" s="90"/>
      <c r="B1125" s="83" t="s">
        <v>1326</v>
      </c>
      <c r="C1125" s="14" t="s">
        <v>1330</v>
      </c>
      <c r="D1125" s="240"/>
      <c r="E1125" s="14" t="s">
        <v>2713</v>
      </c>
      <c r="F1125" s="154" t="str">
        <f>IF(wskakunin_kyoka01_KYOKA_NO="","",wskakunin_kyoka01_KYOKA_NO)</f>
        <v/>
      </c>
    </row>
    <row r="1126" spans="1:6" ht="15" customHeight="1">
      <c r="A1126" s="90"/>
      <c r="B1126" s="83" t="s">
        <v>1327</v>
      </c>
      <c r="C1126" s="14" t="s">
        <v>1331</v>
      </c>
      <c r="D1126" s="239"/>
      <c r="E1126" s="14" t="s">
        <v>2714</v>
      </c>
      <c r="F1126" s="154" t="str">
        <f>IF(wskakunin_kyoka01_KYOKA_DATE="","",wskakunin_kyoka01_KYOKA_DATE)</f>
        <v/>
      </c>
    </row>
    <row r="1127" spans="1:6" ht="15" customHeight="1">
      <c r="A1127" s="90"/>
      <c r="B1127" s="83" t="s">
        <v>484</v>
      </c>
      <c r="C1127" s="14" t="s">
        <v>1332</v>
      </c>
      <c r="D1127" s="240"/>
      <c r="E1127" s="14" t="s">
        <v>2715</v>
      </c>
      <c r="F1127" s="154" t="str">
        <f>IF(wskakunin_kyoka01_BIKOU="","",wskakunin_kyoka01_BIKOU)</f>
        <v/>
      </c>
    </row>
    <row r="1128" spans="1:6" ht="15" customHeight="1">
      <c r="A1128" s="90"/>
      <c r="B1128" s="148" t="s">
        <v>1344</v>
      </c>
      <c r="D1128" s="34"/>
      <c r="F1128" s="17"/>
    </row>
    <row r="1129" spans="1:6" ht="15" customHeight="1">
      <c r="A1129" s="90"/>
      <c r="B1129" s="148"/>
      <c r="D1129" s="17"/>
      <c r="F1129" s="17"/>
    </row>
    <row r="1130" spans="1:6" ht="15" customHeight="1">
      <c r="A1130" s="93" t="s">
        <v>1274</v>
      </c>
      <c r="B1130" s="147"/>
    </row>
    <row r="1131" spans="1:6" ht="15" customHeight="1">
      <c r="A1131" s="90"/>
      <c r="B1131" s="83" t="s">
        <v>1324</v>
      </c>
      <c r="C1131" s="14" t="s">
        <v>1333</v>
      </c>
      <c r="D1131" s="240"/>
      <c r="E1131" s="14" t="s">
        <v>1348</v>
      </c>
      <c r="F1131" s="154" t="str">
        <f>IF(wskakunin_kyoka02_HOUREI="","",wskakunin_kyoka02_HOUREI)</f>
        <v/>
      </c>
    </row>
    <row r="1132" spans="1:6" ht="15" customHeight="1">
      <c r="A1132" s="90"/>
      <c r="B1132" s="83" t="s">
        <v>1325</v>
      </c>
      <c r="C1132" s="14" t="s">
        <v>1334</v>
      </c>
      <c r="D1132" s="240"/>
      <c r="E1132" s="14" t="s">
        <v>2716</v>
      </c>
      <c r="F1132" s="154" t="str">
        <f>IF(wskakunin_kyoka02_JOUKOU="","",wskakunin_kyoka02_JOUKOU)</f>
        <v/>
      </c>
    </row>
    <row r="1133" spans="1:6" ht="15" customHeight="1">
      <c r="A1133" s="90"/>
      <c r="B1133" s="83" t="s">
        <v>1326</v>
      </c>
      <c r="C1133" s="14" t="s">
        <v>1335</v>
      </c>
      <c r="D1133" s="240"/>
      <c r="E1133" s="14" t="s">
        <v>2717</v>
      </c>
      <c r="F1133" s="154" t="str">
        <f>IF(wskakunin_kyoka02_KYOKA_NO="","",wskakunin_kyoka02_KYOKA_NO)</f>
        <v/>
      </c>
    </row>
    <row r="1134" spans="1:6" ht="15" customHeight="1">
      <c r="A1134" s="90"/>
      <c r="B1134" s="83" t="s">
        <v>1327</v>
      </c>
      <c r="C1134" s="14" t="s">
        <v>1336</v>
      </c>
      <c r="D1134" s="260"/>
      <c r="E1134" s="14" t="s">
        <v>2718</v>
      </c>
      <c r="F1134" s="260" t="str">
        <f>IF(wskakunin_kyoka02_KYOKA_DATE="","",wskakunin_kyoka02_KYOKA_DATE)</f>
        <v/>
      </c>
    </row>
    <row r="1135" spans="1:6" ht="15" customHeight="1">
      <c r="A1135" s="90"/>
      <c r="B1135" s="83" t="s">
        <v>484</v>
      </c>
      <c r="C1135" s="14" t="s">
        <v>1337</v>
      </c>
      <c r="D1135" s="240"/>
      <c r="E1135" s="14" t="s">
        <v>2719</v>
      </c>
      <c r="F1135" s="154" t="str">
        <f>IF(wskakunin_kyoka02_BIKOU="","",wskakunin_kyoka02_BIKOU)</f>
        <v/>
      </c>
    </row>
    <row r="1136" spans="1:6" ht="15" customHeight="1">
      <c r="A1136" s="90"/>
      <c r="B1136" s="148" t="s">
        <v>1346</v>
      </c>
      <c r="D1136" s="34"/>
      <c r="F1136" s="17"/>
    </row>
    <row r="1137" spans="1:8" ht="15" customHeight="1">
      <c r="A1137" s="149"/>
      <c r="B1137" s="148"/>
      <c r="D1137" s="17"/>
      <c r="F1137" s="17"/>
    </row>
    <row r="1138" spans="1:8" ht="15" customHeight="1">
      <c r="A1138" s="93" t="s">
        <v>1278</v>
      </c>
      <c r="B1138" s="147"/>
    </row>
    <row r="1139" spans="1:8" ht="15" customHeight="1">
      <c r="A1139" s="90"/>
      <c r="B1139" s="83" t="s">
        <v>1324</v>
      </c>
      <c r="C1139" s="14" t="s">
        <v>1338</v>
      </c>
      <c r="D1139" s="240"/>
      <c r="E1139" s="14" t="s">
        <v>1349</v>
      </c>
      <c r="F1139" s="154" t="str">
        <f>IF(wskakunin_kyoka03_HOUREI="","",wskakunin_kyoka03_HOUREI)</f>
        <v/>
      </c>
    </row>
    <row r="1140" spans="1:8" ht="15" customHeight="1">
      <c r="A1140" s="90"/>
      <c r="B1140" s="83" t="s">
        <v>1325</v>
      </c>
      <c r="C1140" s="14" t="s">
        <v>1339</v>
      </c>
      <c r="D1140" s="240"/>
      <c r="E1140" s="14" t="s">
        <v>2720</v>
      </c>
      <c r="F1140" s="154" t="str">
        <f>IF(wskakunin_kyoka03_JOUKOU="","",wskakunin_kyoka03_JOUKOU)</f>
        <v/>
      </c>
    </row>
    <row r="1141" spans="1:8" ht="15" customHeight="1">
      <c r="A1141" s="90"/>
      <c r="B1141" s="83" t="s">
        <v>1326</v>
      </c>
      <c r="C1141" s="14" t="s">
        <v>1340</v>
      </c>
      <c r="D1141" s="240"/>
      <c r="E1141" s="14" t="s">
        <v>2721</v>
      </c>
      <c r="F1141" s="154" t="str">
        <f>IF(wskakunin_kyoka03_KYOKA_NO="","",wskakunin_kyoka03_KYOKA_NO)</f>
        <v/>
      </c>
    </row>
    <row r="1142" spans="1:8" ht="15" customHeight="1">
      <c r="A1142" s="90"/>
      <c r="B1142" s="83" t="s">
        <v>1327</v>
      </c>
      <c r="C1142" s="14" t="s">
        <v>1341</v>
      </c>
      <c r="D1142" s="260"/>
      <c r="E1142" s="14" t="s">
        <v>2722</v>
      </c>
      <c r="F1142" s="260" t="str">
        <f>IF(wskakunin_kyoka03_KYOKA_DATE="","",wskakunin_kyoka03_KYOKA_DATE)</f>
        <v/>
      </c>
    </row>
    <row r="1143" spans="1:8" ht="15" customHeight="1">
      <c r="A1143" s="90"/>
      <c r="B1143" s="83" t="s">
        <v>484</v>
      </c>
      <c r="C1143" s="14" t="s">
        <v>1342</v>
      </c>
      <c r="D1143" s="240"/>
      <c r="E1143" s="14" t="s">
        <v>2723</v>
      </c>
      <c r="F1143" s="154" t="str">
        <f>IF(wskakunin_kyoka03_BIKOU="","",wskakunin_kyoka03_BIKOU)</f>
        <v/>
      </c>
    </row>
    <row r="1144" spans="1:8" ht="15" customHeight="1">
      <c r="A1144" s="90"/>
      <c r="B1144" s="148" t="s">
        <v>1345</v>
      </c>
      <c r="D1144" s="34"/>
      <c r="F1144" s="17"/>
    </row>
    <row r="1145" spans="1:8" ht="15" customHeight="1">
      <c r="A1145" s="149"/>
      <c r="B1145" s="83"/>
      <c r="D1145" s="17"/>
      <c r="F1145" s="17"/>
    </row>
    <row r="1146" spans="1:8" ht="15" customHeight="1">
      <c r="A1146" s="90" t="s">
        <v>1343</v>
      </c>
      <c r="B1146" s="146"/>
      <c r="D1146" s="17"/>
      <c r="E1146" s="14" t="s">
        <v>1350</v>
      </c>
      <c r="F1146" s="154" t="str">
        <f>cst_wskakunin_kyoka01_HOUREI&amp;IF(cst_wskakunin_kyoka02_HOUREI&lt;&gt;"",CHAR(10)&amp;cst_wskakunin_kyoka02_HOUREI,cst_wskakunin_kyoka02_HOUREI)&amp;IF(cst_wskakunin_kyoka03_HOUREI&lt;&gt;"",CHAR(10)&amp;cst_wskakunin_kyoka03_HOUREI,cst_wskakunin_kyoka03_HOUREI)</f>
        <v/>
      </c>
      <c r="G1146" s="14" t="s">
        <v>1351</v>
      </c>
    </row>
    <row r="1147" spans="1:8" ht="15" customHeight="1">
      <c r="A1147" s="92"/>
      <c r="B1147" s="98"/>
      <c r="D1147" s="17"/>
      <c r="F1147" s="17"/>
    </row>
    <row r="1148" spans="1:8" ht="15" customHeight="1">
      <c r="A1148" s="88" t="s">
        <v>1260</v>
      </c>
      <c r="B1148" s="97"/>
      <c r="C1148" s="14" t="s">
        <v>1261</v>
      </c>
      <c r="D1148" s="260"/>
      <c r="E1148" s="14" t="s">
        <v>1262</v>
      </c>
      <c r="F1148" s="260" t="str">
        <f>IF(wskakunin_KOUJI_TYAKUSYU_YOTEI_DATE="", "", wskakunin_KOUJI_TYAKUSYU_YOTEI_DATE)</f>
        <v/>
      </c>
    </row>
    <row r="1149" spans="1:8" ht="15" customHeight="1">
      <c r="A1149" s="205"/>
      <c r="B1149" s="213"/>
      <c r="D1149" s="17"/>
      <c r="F1149" s="17"/>
    </row>
    <row r="1150" spans="1:8" ht="15" customHeight="1">
      <c r="A1150" s="88" t="s">
        <v>1263</v>
      </c>
      <c r="B1150" s="97"/>
      <c r="C1150" s="14" t="s">
        <v>1264</v>
      </c>
      <c r="D1150" s="260">
        <v>45088</v>
      </c>
      <c r="E1150" s="14" t="s">
        <v>1265</v>
      </c>
      <c r="F1150" s="260">
        <f>IF(wskakunin_KOUJI_KANRYOU_YOTEI_DATE="", "", wskakunin_KOUJI_KANRYOU_YOTEI_DATE)</f>
        <v>45088</v>
      </c>
    </row>
    <row r="1151" spans="1:8" ht="15" customHeight="1">
      <c r="A1151" s="92"/>
      <c r="B1151" s="98"/>
      <c r="D1151" s="17"/>
      <c r="F1151" s="17"/>
    </row>
    <row r="1152" spans="1:8" ht="15" customHeight="1">
      <c r="A1152" s="48"/>
      <c r="B1152" s="49" t="s">
        <v>693</v>
      </c>
      <c r="E1152" s="14" t="s">
        <v>2493</v>
      </c>
      <c r="F1152" s="44" t="str">
        <f>IF(OR(wskakunin_KOUJI_TYAKUSYU_YOTEI_DATE="",wskakunin_KOUJI_KANRYOU_YOTEI_DATE=""),"",IF(DATEDIF(wskakunin_KOUJI_TYAKUSYU_YOTEI_DATE,wskakunin_KOUJI_KANRYOU_YOTEI_DATE,"D")&lt;=44,0,DATEDIF(wskakunin_KOUJI_TYAKUSYU_YOTEI_DATE,wskakunin_KOUJI_KANRYOU_YOTEI_DATE+16,"Y")))</f>
        <v/>
      </c>
      <c r="G1152" s="17"/>
      <c r="H1152" s="17"/>
    </row>
    <row r="1153" spans="1:8" ht="15" customHeight="1">
      <c r="A1153" s="50"/>
      <c r="B1153" s="67" t="s">
        <v>694</v>
      </c>
      <c r="E1153" s="14" t="s">
        <v>2494</v>
      </c>
      <c r="F1153" s="44" t="str">
        <f>IF(OR(wskakunin_KOUJI_TYAKUSYU_YOTEI_DATE="",wskakunin_KOUJI_KANRYOU_YOTEI_DATE=""),"",IF(DATEDIF(wskakunin_KOUJI_TYAKUSYU_YOTEI_DATE,wskakunin_KOUJI_KANRYOU_YOTEI_DATE,"D")&lt;=44,1,DATEDIF(wskakunin_KOUJI_TYAKUSYU_YOTEI_DATE,wskakunin_KOUJI_KANRYOU_YOTEI_DATE+16,"YM")))</f>
        <v/>
      </c>
      <c r="G1153" s="17"/>
      <c r="H1153" s="17"/>
    </row>
    <row r="1154" spans="1:8" ht="15" customHeight="1">
      <c r="A1154" s="51"/>
      <c r="B1154" s="63"/>
      <c r="G1154" s="17"/>
      <c r="H1154" s="17"/>
    </row>
    <row r="1155" spans="1:8" ht="15" customHeight="1">
      <c r="G1155" s="17"/>
      <c r="H1155" s="17"/>
    </row>
    <row r="1156" spans="1:8" ht="15" customHeight="1">
      <c r="A1156" s="89" t="s">
        <v>1266</v>
      </c>
      <c r="B1156" s="110"/>
    </row>
    <row r="1157" spans="1:8" ht="15" customHeight="1">
      <c r="A1157" s="93" t="s">
        <v>1267</v>
      </c>
      <c r="B1157" s="111"/>
    </row>
    <row r="1158" spans="1:8" ht="15" customHeight="1">
      <c r="A1158" s="91"/>
      <c r="B1158" s="83" t="s">
        <v>718</v>
      </c>
      <c r="C1158" s="14" t="s">
        <v>1268</v>
      </c>
      <c r="D1158" s="154"/>
      <c r="E1158" s="14" t="s">
        <v>1269</v>
      </c>
      <c r="F1158" s="154" t="str">
        <f>IF(wskakunin_koutei01_KOUTEI_KAISUU="","",wskakunin_koutei01_KOUTEI_KAISUU)</f>
        <v/>
      </c>
    </row>
    <row r="1159" spans="1:8" ht="15" customHeight="1">
      <c r="A1159" s="91"/>
      <c r="B1159" s="83" t="s">
        <v>719</v>
      </c>
      <c r="C1159" s="14" t="s">
        <v>1270</v>
      </c>
      <c r="D1159" s="260"/>
      <c r="E1159" s="14" t="s">
        <v>1271</v>
      </c>
      <c r="F1159" s="260" t="str">
        <f>IF(wskakunin_koutei01_KOUTEI_DATE="","",wskakunin_koutei01_KOUTEI_DATE)</f>
        <v/>
      </c>
    </row>
    <row r="1160" spans="1:8" ht="15" customHeight="1">
      <c r="A1160" s="91"/>
      <c r="B1160" s="83" t="s">
        <v>720</v>
      </c>
      <c r="C1160" s="14" t="s">
        <v>1272</v>
      </c>
      <c r="D1160" s="154"/>
      <c r="E1160" s="14" t="s">
        <v>1273</v>
      </c>
      <c r="F1160" s="154" t="str">
        <f>IF(wskakunin_koutei01_KOUTEI_TEXT="","",wskakunin_koutei01_KOUTEI_TEXT)</f>
        <v/>
      </c>
    </row>
    <row r="1161" spans="1:8" ht="15" customHeight="1">
      <c r="A1161" s="94"/>
      <c r="B1161" s="83"/>
      <c r="D1161" s="17"/>
      <c r="F1161" s="17"/>
    </row>
    <row r="1162" spans="1:8" ht="15" customHeight="1">
      <c r="A1162" s="93" t="s">
        <v>1274</v>
      </c>
      <c r="B1162" s="111"/>
    </row>
    <row r="1163" spans="1:8" ht="15" customHeight="1">
      <c r="A1163" s="91"/>
      <c r="B1163" s="83" t="s">
        <v>718</v>
      </c>
      <c r="C1163" s="14" t="s">
        <v>1275</v>
      </c>
      <c r="D1163" s="154"/>
      <c r="E1163" s="14" t="s">
        <v>636</v>
      </c>
      <c r="F1163" s="154" t="str">
        <f>IF(wskakunin_koutei02_KOUTEI_KAISUU="","",wskakunin_koutei02_KOUTEI_KAISUU)</f>
        <v/>
      </c>
    </row>
    <row r="1164" spans="1:8" ht="15" customHeight="1">
      <c r="A1164" s="91"/>
      <c r="B1164" s="83" t="s">
        <v>719</v>
      </c>
      <c r="C1164" s="14" t="s">
        <v>1276</v>
      </c>
      <c r="D1164" s="260"/>
      <c r="E1164" s="14" t="s">
        <v>637</v>
      </c>
      <c r="F1164" s="260" t="str">
        <f>IF(wskakunin_koutei02_KOUTEI_DATE="","",wskakunin_koutei02_KOUTEI_DATE)</f>
        <v/>
      </c>
    </row>
    <row r="1165" spans="1:8" ht="15" customHeight="1">
      <c r="A1165" s="91"/>
      <c r="B1165" s="83" t="s">
        <v>720</v>
      </c>
      <c r="C1165" s="14" t="s">
        <v>1277</v>
      </c>
      <c r="D1165" s="154"/>
      <c r="E1165" s="14" t="s">
        <v>638</v>
      </c>
      <c r="F1165" s="154" t="str">
        <f>IF(wskakunin_koutei02_KOUTEI_TEXT="","",wskakunin_koutei02_KOUTEI_TEXT)</f>
        <v/>
      </c>
    </row>
    <row r="1166" spans="1:8" ht="15" customHeight="1">
      <c r="A1166" s="95"/>
      <c r="B1166" s="83"/>
      <c r="D1166" s="17"/>
      <c r="F1166" s="17"/>
    </row>
    <row r="1167" spans="1:8" ht="15" customHeight="1">
      <c r="A1167" s="90" t="s">
        <v>1278</v>
      </c>
      <c r="B1167" s="44"/>
    </row>
    <row r="1168" spans="1:8" ht="15" customHeight="1">
      <c r="A1168" s="91"/>
      <c r="B1168" s="83" t="s">
        <v>718</v>
      </c>
      <c r="C1168" s="14" t="s">
        <v>1279</v>
      </c>
      <c r="D1168" s="154"/>
      <c r="E1168" s="14" t="s">
        <v>1280</v>
      </c>
      <c r="F1168" s="154" t="str">
        <f>IF(wskakunin_koutei03_KOUTEI_KAISUU="","",wskakunin_koutei03_KOUTEI_KAISUU)</f>
        <v/>
      </c>
    </row>
    <row r="1169" spans="1:6" ht="15" customHeight="1">
      <c r="A1169" s="91"/>
      <c r="B1169" s="83" t="s">
        <v>719</v>
      </c>
      <c r="C1169" s="14" t="s">
        <v>1281</v>
      </c>
      <c r="D1169" s="260"/>
      <c r="E1169" s="14" t="s">
        <v>1282</v>
      </c>
      <c r="F1169" s="260" t="str">
        <f>IF(wskakunin_koutei03_KOUTEI_DATE="","",wskakunin_koutei03_KOUTEI_DATE)</f>
        <v/>
      </c>
    </row>
    <row r="1170" spans="1:6" ht="15" customHeight="1">
      <c r="A1170" s="91"/>
      <c r="B1170" s="83" t="s">
        <v>720</v>
      </c>
      <c r="C1170" s="14" t="s">
        <v>1283</v>
      </c>
      <c r="D1170" s="154"/>
      <c r="E1170" s="14" t="s">
        <v>1284</v>
      </c>
      <c r="F1170" s="154" t="str">
        <f>IF(wskakunin_koutei03_KOUTEI_TEXT="","",wskakunin_koutei03_KOUTEI_TEXT)</f>
        <v/>
      </c>
    </row>
    <row r="1171" spans="1:6" ht="15" customHeight="1">
      <c r="A1171" s="95"/>
      <c r="B1171" s="83"/>
      <c r="D1171" s="17"/>
      <c r="F1171" s="17"/>
    </row>
    <row r="1172" spans="1:6" ht="15" customHeight="1">
      <c r="A1172" s="90" t="s">
        <v>2456</v>
      </c>
      <c r="B1172" s="44"/>
    </row>
    <row r="1173" spans="1:6" ht="15" customHeight="1">
      <c r="A1173" s="91"/>
      <c r="B1173" s="83" t="s">
        <v>718</v>
      </c>
      <c r="C1173" s="14" t="s">
        <v>2697</v>
      </c>
      <c r="D1173" s="154"/>
      <c r="E1173" s="14" t="s">
        <v>2762</v>
      </c>
      <c r="F1173" s="154" t="str">
        <f>IF(wskakunin_koutei04_KOUTEI_KAISUU="","",wskakunin_koutei04_KOUTEI_KAISUU)</f>
        <v/>
      </c>
    </row>
    <row r="1174" spans="1:6" ht="15" customHeight="1">
      <c r="A1174" s="91"/>
      <c r="B1174" s="83" t="s">
        <v>719</v>
      </c>
      <c r="C1174" s="14" t="s">
        <v>2698</v>
      </c>
      <c r="D1174" s="260"/>
      <c r="E1174" s="14" t="s">
        <v>2763</v>
      </c>
      <c r="F1174" s="260" t="str">
        <f>IF(wskakunin_koutei04_KOUTEI_DATE="","",wskakunin_koutei04_KOUTEI_DATE)</f>
        <v/>
      </c>
    </row>
    <row r="1175" spans="1:6" ht="15" customHeight="1">
      <c r="A1175" s="91"/>
      <c r="B1175" s="83" t="s">
        <v>720</v>
      </c>
      <c r="C1175" s="14" t="s">
        <v>2699</v>
      </c>
      <c r="D1175" s="154"/>
      <c r="E1175" s="14" t="s">
        <v>2764</v>
      </c>
      <c r="F1175" s="154" t="str">
        <f>IF(wskakunin_koutei04_KOUTEI_TEXT="","",wskakunin_koutei04_KOUTEI_TEXT)</f>
        <v/>
      </c>
    </row>
    <row r="1176" spans="1:6" ht="15" customHeight="1">
      <c r="A1176" s="96"/>
      <c r="B1176" s="266"/>
      <c r="D1176" s="17"/>
      <c r="F1176" s="17"/>
    </row>
    <row r="1177" spans="1:6" ht="15" customHeight="1">
      <c r="A1177" s="265" t="s">
        <v>2769</v>
      </c>
      <c r="B1177" s="267"/>
      <c r="C1177" s="14" t="s">
        <v>2770</v>
      </c>
      <c r="D1177" s="154"/>
      <c r="E1177" s="14" t="s">
        <v>2771</v>
      </c>
      <c r="F1177" s="154" t="str">
        <f>IF(wskakunin_BOUKA_SETUBI_FLAG="","",wskakunin_BOUKA_SETUBI_FLAG)</f>
        <v/>
      </c>
    </row>
    <row r="1178" spans="1:6" ht="15" customHeight="1">
      <c r="A1178" s="265"/>
      <c r="B1178" s="83" t="s">
        <v>715</v>
      </c>
      <c r="D1178" s="17"/>
      <c r="E1178" s="14" t="s">
        <v>2772</v>
      </c>
      <c r="F1178" s="154" t="str">
        <f>IF(wskakunin_BOUKA_SETUBI_FLAG=1,"■","□")</f>
        <v>□</v>
      </c>
    </row>
    <row r="1179" spans="1:6" ht="15" customHeight="1">
      <c r="A1179" s="265"/>
      <c r="B1179" s="83" t="s">
        <v>716</v>
      </c>
      <c r="D1179" s="17"/>
      <c r="E1179" s="14" t="s">
        <v>2773</v>
      </c>
      <c r="F1179" s="154" t="str">
        <f>IF(wskakunin_BOUKA_SETUBI_FLAG="","□",IF(wskakunin_BOUKA_SETUBI_FLAG=0,"■","□"))</f>
        <v>□</v>
      </c>
    </row>
    <row r="1180" spans="1:6" ht="15" customHeight="1">
      <c r="A1180" s="265"/>
      <c r="B1180" s="146"/>
      <c r="D1180" s="17"/>
      <c r="F1180" s="17"/>
    </row>
    <row r="1181" spans="1:6" ht="15" customHeight="1">
      <c r="A1181" s="30" t="s">
        <v>1285</v>
      </c>
      <c r="B1181" s="97"/>
      <c r="C1181" s="14" t="s">
        <v>1286</v>
      </c>
      <c r="D1181" s="154"/>
      <c r="E1181" s="14" t="s">
        <v>1287</v>
      </c>
      <c r="F1181" s="154" t="str">
        <f>IF(wskakunin_P3_SONOTA="","",wskakunin_P3_SONOTA)</f>
        <v/>
      </c>
    </row>
    <row r="1182" spans="1:6" ht="15" customHeight="1">
      <c r="A1182" s="31"/>
      <c r="B1182" s="98"/>
      <c r="D1182" s="17"/>
      <c r="F1182" s="17"/>
    </row>
    <row r="1183" spans="1:6" ht="15" customHeight="1">
      <c r="A1183" s="99" t="s">
        <v>615</v>
      </c>
      <c r="B1183" s="100"/>
      <c r="C1183" s="14" t="s">
        <v>1288</v>
      </c>
      <c r="D1183" s="154"/>
      <c r="E1183" s="14" t="s">
        <v>1289</v>
      </c>
      <c r="F1183" s="154" t="str">
        <f>IF(wskakunin_P3_BIKOU="","",wskakunin_P3_BIKOU)</f>
        <v/>
      </c>
    </row>
    <row r="1184" spans="1:6" ht="15" customHeight="1">
      <c r="A1184" s="51"/>
      <c r="B1184" s="63"/>
    </row>
    <row r="1187" spans="1:7" ht="15" customHeight="1">
      <c r="A1187" s="181" t="s">
        <v>1290</v>
      </c>
      <c r="B1187" s="107" t="s">
        <v>118</v>
      </c>
    </row>
    <row r="1188" spans="1:7" ht="15" customHeight="1">
      <c r="A1188" s="89" t="s">
        <v>727</v>
      </c>
      <c r="B1188" s="110"/>
    </row>
    <row r="1189" spans="1:7" ht="15" customHeight="1">
      <c r="A1189" s="182" t="s">
        <v>726</v>
      </c>
      <c r="B1189" s="183"/>
    </row>
    <row r="1190" spans="1:7" ht="15" customHeight="1">
      <c r="A1190" s="50"/>
      <c r="B1190" s="75" t="s">
        <v>2334</v>
      </c>
      <c r="E1190" s="34" t="s">
        <v>2335</v>
      </c>
      <c r="F1190" s="44" t="str">
        <f>IF(wskakunin_TOKUREI_1="1","第１号",IF(wskakunin_TOKUREI_2="1","第２号",IF(wskakunin_TOKUREI_3="1","第３号",IF(wskakunin_TOKUREI_4="1","第４号",""))))</f>
        <v>第３号</v>
      </c>
    </row>
    <row r="1191" spans="1:7" ht="15" customHeight="1">
      <c r="A1191" s="50"/>
      <c r="B1191" s="74" t="s">
        <v>722</v>
      </c>
      <c r="C1191" s="34" t="s">
        <v>1352</v>
      </c>
      <c r="D1191" s="241"/>
    </row>
    <row r="1192" spans="1:7" ht="15" customHeight="1">
      <c r="A1192" s="50"/>
      <c r="B1192" s="74" t="s">
        <v>723</v>
      </c>
      <c r="C1192" s="34" t="s">
        <v>1353</v>
      </c>
      <c r="D1192" s="241"/>
    </row>
    <row r="1193" spans="1:7" ht="15" customHeight="1">
      <c r="A1193" s="50"/>
      <c r="B1193" s="74" t="s">
        <v>724</v>
      </c>
      <c r="C1193" s="34" t="s">
        <v>1354</v>
      </c>
      <c r="D1193" s="241" t="s">
        <v>3291</v>
      </c>
    </row>
    <row r="1194" spans="1:7" ht="15" customHeight="1">
      <c r="A1194" s="50"/>
      <c r="B1194" s="74" t="s">
        <v>725</v>
      </c>
      <c r="C1194" s="34" t="s">
        <v>1355</v>
      </c>
      <c r="D1194" s="241"/>
    </row>
    <row r="1195" spans="1:7" ht="15" customHeight="1">
      <c r="A1195" s="184"/>
      <c r="B1195" s="75"/>
    </row>
    <row r="1196" spans="1:7" ht="15" customHeight="1">
      <c r="A1196" s="48" t="s">
        <v>728</v>
      </c>
      <c r="B1196" s="49"/>
      <c r="C1196" s="14" t="s">
        <v>1356</v>
      </c>
      <c r="D1196" s="241"/>
      <c r="E1196" s="14" t="s">
        <v>2343</v>
      </c>
      <c r="F1196" s="44" t="str">
        <f>IF(wskakunin_KENTIKU_NINSYO_NO="","",wskakunin_KENTIKU_NINSYO_NO)</f>
        <v/>
      </c>
    </row>
    <row r="1197" spans="1:7" ht="15" customHeight="1">
      <c r="A1197" s="179"/>
      <c r="B1197" s="180"/>
    </row>
    <row r="1198" spans="1:7" ht="15" customHeight="1">
      <c r="A1198" s="185" t="s">
        <v>729</v>
      </c>
      <c r="B1198" s="49"/>
      <c r="C1198" s="14" t="s">
        <v>2344</v>
      </c>
      <c r="D1198" s="263">
        <v>44984</v>
      </c>
      <c r="E1198" s="14" t="s">
        <v>2360</v>
      </c>
      <c r="F1198" s="263">
        <f ca="1">IF(chk_JOB_KIND_kakunin=1,"",IF(wskakunin_KOUJI_TYAKUSYU_DATE="","",wskakunin_KOUJI_TYAKUSYU_DATE))</f>
        <v>44984</v>
      </c>
      <c r="G1198" s="14" t="s">
        <v>2346</v>
      </c>
    </row>
    <row r="1199" spans="1:7" ht="15" customHeight="1">
      <c r="A1199" s="186"/>
      <c r="B1199" s="180"/>
      <c r="D1199" s="106"/>
    </row>
    <row r="1200" spans="1:7" ht="15" customHeight="1">
      <c r="A1200" s="185" t="s">
        <v>2754</v>
      </c>
      <c r="B1200" s="49"/>
      <c r="D1200" s="106"/>
    </row>
    <row r="1201" spans="1:7" ht="15" customHeight="1">
      <c r="A1201" s="236"/>
      <c r="B1201" s="75" t="s">
        <v>2753</v>
      </c>
      <c r="D1201" s="106"/>
      <c r="E1201" s="14" t="s">
        <v>2755</v>
      </c>
      <c r="F1201" s="263">
        <f ca="1">IF(chk_JOB_KIND_kakunin=1,"",IF(wskakunin_KOUJI_KANRYOU_YOTEI_DATE="","",wskakunin_KOUJI_KANRYOU_YOTEI_DATE))</f>
        <v>45088</v>
      </c>
    </row>
    <row r="1202" spans="1:7" ht="15" customHeight="1">
      <c r="A1202" s="185" t="s">
        <v>730</v>
      </c>
      <c r="B1202" s="49"/>
    </row>
    <row r="1203" spans="1:7" ht="15" customHeight="1">
      <c r="A1203" s="50"/>
      <c r="B1203" s="74" t="s">
        <v>645</v>
      </c>
      <c r="C1203" s="14" t="s">
        <v>1377</v>
      </c>
      <c r="D1203" s="241" t="s">
        <v>538</v>
      </c>
      <c r="E1203" s="14" t="s">
        <v>2362</v>
      </c>
      <c r="F1203" s="44" t="str">
        <f>IF(wskakunin_TOKUTEI_KOUTEI="","",wskakunin_TOKUTEI_KOUTEI)</f>
        <v>屋根の小屋組工事及び構造耐力上主要な軸組の工事</v>
      </c>
      <c r="G1203" s="14" t="s">
        <v>2348</v>
      </c>
    </row>
    <row r="1204" spans="1:7" ht="15" customHeight="1">
      <c r="A1204" s="50"/>
      <c r="B1204" s="75" t="s">
        <v>2349</v>
      </c>
      <c r="E1204" s="14" t="s">
        <v>2363</v>
      </c>
      <c r="F1204" s="44" t="str">
        <f ca="1">IF(chk_JOB_KIND_kakunin=1,IF(wskakunin_koutei01_KOUTEI_TEXT="","",wskakunin_koutei01_KOUTEI_TEXT),cst_wskakunin_TOKUTEI_KOUTEI)</f>
        <v>屋根の小屋組工事及び構造耐力上主要な軸組の工事</v>
      </c>
    </row>
    <row r="1205" spans="1:7" ht="15" customHeight="1">
      <c r="A1205" s="50"/>
      <c r="B1205" s="75" t="s">
        <v>2350</v>
      </c>
      <c r="E1205" s="14" t="s">
        <v>2364</v>
      </c>
      <c r="F1205" s="44" t="str">
        <f ca="1">IF(chk_JOB_KIND_kakunin=1,IF(wskakunin_koutei02_KOUTEI_TEXT="","",wskakunin_koutei02_KOUTEI_TEXT),cst_wskakunin_TOKUTEI_KOUTEI)</f>
        <v>屋根の小屋組工事及び構造耐力上主要な軸組の工事</v>
      </c>
    </row>
    <row r="1206" spans="1:7" ht="15" customHeight="1">
      <c r="A1206" s="50"/>
      <c r="B1206" s="74" t="s">
        <v>731</v>
      </c>
      <c r="C1206" s="14" t="s">
        <v>1378</v>
      </c>
      <c r="D1206" s="263">
        <v>45032</v>
      </c>
      <c r="E1206" s="14" t="s">
        <v>2365</v>
      </c>
      <c r="F1206" s="263">
        <f ca="1">IF(chk_JOB_KIND_kakunin=1,"",IF(wskakunin_TOKUTEI_KOUJI_KANRYOU_DATE="","",wskakunin_TOKUTEI_KOUJI_KANRYOU_DATE))</f>
        <v>45032</v>
      </c>
      <c r="G1206" s="14" t="s">
        <v>2346</v>
      </c>
    </row>
    <row r="1207" spans="1:7" ht="15" customHeight="1">
      <c r="A1207" s="50"/>
      <c r="B1207" s="74"/>
      <c r="D1207" s="106"/>
    </row>
    <row r="1208" spans="1:7" ht="15" customHeight="1">
      <c r="A1208" s="50"/>
      <c r="B1208" s="74" t="s">
        <v>732</v>
      </c>
      <c r="C1208" s="14" t="s">
        <v>1379</v>
      </c>
      <c r="D1208" s="262">
        <v>79.7</v>
      </c>
      <c r="E1208" s="14" t="s">
        <v>2366</v>
      </c>
      <c r="F1208" s="44">
        <f ca="1">IF(chk_JOB_KIND_kakunin=1,"",IF(wskakunin_KENSA_YUKA_MENSEKI="","",wskakunin_KENSA_YUKA_MENSEKI))</f>
        <v>79.7</v>
      </c>
      <c r="G1208" s="14" t="s">
        <v>2346</v>
      </c>
    </row>
    <row r="1209" spans="1:7" ht="15" customHeight="1">
      <c r="A1209" s="179"/>
      <c r="B1209" s="188"/>
    </row>
    <row r="1210" spans="1:7" ht="15" customHeight="1">
      <c r="A1210" s="185" t="s">
        <v>733</v>
      </c>
      <c r="B1210" s="49"/>
    </row>
    <row r="1211" spans="1:7" ht="15" customHeight="1">
      <c r="A1211" s="200" t="s">
        <v>1267</v>
      </c>
      <c r="B1211" s="183"/>
    </row>
    <row r="1212" spans="1:7" ht="15" customHeight="1">
      <c r="A1212" s="201"/>
      <c r="B1212" s="75" t="s">
        <v>718</v>
      </c>
      <c r="C1212" s="14" t="s">
        <v>1380</v>
      </c>
      <c r="D1212" s="241"/>
      <c r="E1212" s="14" t="s">
        <v>2367</v>
      </c>
      <c r="F1212" s="44" t="str">
        <f>IF(wskakunin_koutei_izen01_KOUTEI_KAISUU="","",wskakunin_koutei_izen01_KOUTEI_KAISUU)</f>
        <v/>
      </c>
    </row>
    <row r="1213" spans="1:7" ht="15" customHeight="1">
      <c r="A1213" s="201"/>
      <c r="B1213" s="74" t="s">
        <v>645</v>
      </c>
      <c r="C1213" s="14" t="s">
        <v>1381</v>
      </c>
      <c r="D1213" s="241"/>
      <c r="E1213" s="14" t="s">
        <v>2368</v>
      </c>
      <c r="F1213" s="44" t="str">
        <f>IF(wskakunin_koutei_izen01_KOUTEI_TEXT="","",wskakunin_koutei_izen01_KOUTEI_TEXT)</f>
        <v/>
      </c>
    </row>
    <row r="1214" spans="1:7" ht="15" customHeight="1">
      <c r="A1214" s="201"/>
      <c r="B1214" s="116" t="s">
        <v>734</v>
      </c>
      <c r="C1214" s="14" t="s">
        <v>1382</v>
      </c>
      <c r="D1214" s="241"/>
      <c r="E1214" s="14" t="s">
        <v>2369</v>
      </c>
      <c r="F1214" s="44" t="str">
        <f>IF(wskakunin_koutei_izen01_INTER_ISSUE_NAME="","",wskakunin_koutei_izen01_INTER_ISSUE_NAME)</f>
        <v/>
      </c>
    </row>
    <row r="1215" spans="1:7" ht="15" customHeight="1">
      <c r="A1215" s="201"/>
      <c r="B1215" s="116" t="s">
        <v>735</v>
      </c>
      <c r="C1215" s="14" t="s">
        <v>1383</v>
      </c>
      <c r="D1215" s="241"/>
      <c r="E1215" s="14" t="s">
        <v>2370</v>
      </c>
      <c r="F1215" s="44" t="str">
        <f>IF(wskakunin_koutei_izen01_INTER_ISSUE_NO="","",wskakunin_koutei_izen01_INTER_ISSUE_NO)</f>
        <v/>
      </c>
    </row>
    <row r="1216" spans="1:7" ht="15" customHeight="1">
      <c r="A1216" s="201"/>
      <c r="B1216" s="116" t="s">
        <v>736</v>
      </c>
      <c r="C1216" s="14" t="s">
        <v>1384</v>
      </c>
      <c r="D1216" s="263"/>
      <c r="E1216" s="14" t="s">
        <v>2371</v>
      </c>
      <c r="F1216" s="263" t="str">
        <f>IF(wskakunin_koutei_izen01_INTER_ISSUE_DATE="","",wskakunin_koutei_izen01_INTER_ISSUE_DATE)</f>
        <v/>
      </c>
    </row>
    <row r="1217" spans="1:6" ht="15" customHeight="1">
      <c r="A1217" s="202"/>
      <c r="B1217" s="75" t="s">
        <v>3209</v>
      </c>
      <c r="E1217" s="14" t="s">
        <v>3210</v>
      </c>
      <c r="F1217" s="488" t="str">
        <f>IF(COUNTIF(D1212:D1216,"&lt;&gt;")&gt;0,"有","無")</f>
        <v>無</v>
      </c>
    </row>
    <row r="1218" spans="1:6" ht="15" customHeight="1">
      <c r="A1218" s="201" t="s">
        <v>1274</v>
      </c>
      <c r="B1218" s="155"/>
    </row>
    <row r="1219" spans="1:6" ht="15" customHeight="1">
      <c r="A1219" s="201"/>
      <c r="B1219" s="75" t="s">
        <v>718</v>
      </c>
      <c r="C1219" s="14" t="s">
        <v>1385</v>
      </c>
      <c r="D1219" s="241"/>
      <c r="E1219" s="14" t="s">
        <v>2385</v>
      </c>
      <c r="F1219" s="44" t="str">
        <f>IF(wskakunin_koutei_izen02_KOUTEI_KAISUU="","",wskakunin_koutei_izen02_KOUTEI_KAISUU)</f>
        <v/>
      </c>
    </row>
    <row r="1220" spans="1:6" ht="15" customHeight="1">
      <c r="A1220" s="201"/>
      <c r="B1220" s="74" t="s">
        <v>645</v>
      </c>
      <c r="C1220" s="14" t="s">
        <v>1386</v>
      </c>
      <c r="D1220" s="241"/>
      <c r="E1220" s="14" t="s">
        <v>2386</v>
      </c>
      <c r="F1220" s="44" t="str">
        <f>IF(wskakunin_koutei_izen02_KOUTEI_TEXT="","",wskakunin_koutei_izen02_KOUTEI_TEXT)</f>
        <v/>
      </c>
    </row>
    <row r="1221" spans="1:6" ht="15" customHeight="1">
      <c r="A1221" s="201"/>
      <c r="B1221" s="116" t="s">
        <v>734</v>
      </c>
      <c r="C1221" s="14" t="s">
        <v>1387</v>
      </c>
      <c r="D1221" s="241"/>
      <c r="E1221" s="14" t="s">
        <v>2387</v>
      </c>
      <c r="F1221" s="44" t="str">
        <f>IF(wskakunin_koutei_izen02_INTER_ISSUE_NAME="","",wskakunin_koutei_izen02_INTER_ISSUE_NAME)</f>
        <v/>
      </c>
    </row>
    <row r="1222" spans="1:6" ht="15" customHeight="1">
      <c r="A1222" s="201"/>
      <c r="B1222" s="116" t="s">
        <v>735</v>
      </c>
      <c r="C1222" s="14" t="s">
        <v>1388</v>
      </c>
      <c r="D1222" s="241"/>
      <c r="E1222" s="14" t="s">
        <v>2388</v>
      </c>
      <c r="F1222" s="44" t="str">
        <f>IF(wskakunin_koutei_izen02_INTER_ISSUE_NO="","",wskakunin_koutei_izen02_INTER_ISSUE_NO)</f>
        <v/>
      </c>
    </row>
    <row r="1223" spans="1:6" ht="15" customHeight="1">
      <c r="A1223" s="201"/>
      <c r="B1223" s="116" t="s">
        <v>736</v>
      </c>
      <c r="C1223" s="14" t="s">
        <v>1389</v>
      </c>
      <c r="D1223" s="263"/>
      <c r="E1223" s="14" t="s">
        <v>2389</v>
      </c>
      <c r="F1223" s="263" t="str">
        <f>IF(wskakunin_koutei_izen02_INTER_ISSUE_DATE="","",wskakunin_koutei_izen02_INTER_ISSUE_DATE)</f>
        <v/>
      </c>
    </row>
    <row r="1224" spans="1:6" ht="15" customHeight="1">
      <c r="A1224" s="201"/>
      <c r="B1224" s="75"/>
    </row>
    <row r="1225" spans="1:6" ht="15" customHeight="1">
      <c r="A1225" s="200" t="s">
        <v>1278</v>
      </c>
      <c r="B1225" s="183"/>
    </row>
    <row r="1226" spans="1:6" ht="15" customHeight="1">
      <c r="A1226" s="201"/>
      <c r="B1226" s="75" t="s">
        <v>718</v>
      </c>
      <c r="C1226" s="14" t="s">
        <v>2457</v>
      </c>
      <c r="D1226" s="241"/>
      <c r="E1226" s="14" t="s">
        <v>2467</v>
      </c>
      <c r="F1226" s="44" t="str">
        <f>IF(wskakunin_koutei_izen03_KOUTEI_KAISUU="","",wskakunin_koutei_izen03_KOUTEI_KAISUU)</f>
        <v/>
      </c>
    </row>
    <row r="1227" spans="1:6" ht="15" customHeight="1">
      <c r="A1227" s="201"/>
      <c r="B1227" s="74" t="s">
        <v>645</v>
      </c>
      <c r="C1227" s="14" t="s">
        <v>2458</v>
      </c>
      <c r="D1227" s="241"/>
      <c r="E1227" s="14" t="s">
        <v>2468</v>
      </c>
      <c r="F1227" s="44" t="str">
        <f>IF(wskakunin_koutei_izen03_KOUTEI_TEXT="","",wskakunin_koutei_izen03_KOUTEI_TEXT)</f>
        <v/>
      </c>
    </row>
    <row r="1228" spans="1:6" ht="15" customHeight="1">
      <c r="A1228" s="201"/>
      <c r="B1228" s="116" t="s">
        <v>734</v>
      </c>
      <c r="C1228" s="14" t="s">
        <v>2459</v>
      </c>
      <c r="D1228" s="241"/>
      <c r="E1228" s="14" t="s">
        <v>2469</v>
      </c>
      <c r="F1228" s="44" t="str">
        <f>IF(wskakunin_koutei_izen03_INTER_ISSUE_NAME="","",wskakunin_koutei_izen03_INTER_ISSUE_NAME)</f>
        <v/>
      </c>
    </row>
    <row r="1229" spans="1:6" ht="15" customHeight="1">
      <c r="A1229" s="201"/>
      <c r="B1229" s="116" t="s">
        <v>735</v>
      </c>
      <c r="C1229" s="14" t="s">
        <v>2460</v>
      </c>
      <c r="D1229" s="241"/>
      <c r="E1229" s="14" t="s">
        <v>2470</v>
      </c>
      <c r="F1229" s="44" t="str">
        <f>IF(wskakunin_koutei_izen03_INTER_ISSUE_NO="","",wskakunin_koutei_izen03_INTER_ISSUE_NO)</f>
        <v/>
      </c>
    </row>
    <row r="1230" spans="1:6" ht="15" customHeight="1">
      <c r="A1230" s="201"/>
      <c r="B1230" s="116" t="s">
        <v>736</v>
      </c>
      <c r="C1230" s="14" t="s">
        <v>2461</v>
      </c>
      <c r="D1230" s="261"/>
      <c r="E1230" s="14" t="s">
        <v>2471</v>
      </c>
      <c r="F1230" s="261" t="str">
        <f>IF(wskakunin_koutei_izen03_INTER_ISSUE_DATE="","",wskakunin_koutei_izen03_INTER_ISSUE_DATE)</f>
        <v/>
      </c>
    </row>
    <row r="1231" spans="1:6" ht="15" customHeight="1">
      <c r="A1231" s="202"/>
      <c r="B1231" s="75"/>
    </row>
    <row r="1232" spans="1:6" ht="15" customHeight="1">
      <c r="A1232" s="200" t="s">
        <v>2456</v>
      </c>
      <c r="B1232" s="183"/>
    </row>
    <row r="1233" spans="1:7" ht="15" customHeight="1">
      <c r="A1233" s="201"/>
      <c r="B1233" s="75" t="s">
        <v>718</v>
      </c>
      <c r="C1233" s="14" t="s">
        <v>2462</v>
      </c>
      <c r="D1233" s="241"/>
      <c r="E1233" s="14" t="s">
        <v>2472</v>
      </c>
      <c r="F1233" s="44" t="str">
        <f>IF(wskakunin_koutei_izen04_KOUTEI_KAISUU="","",wskakunin_koutei_izen04_KOUTEI_KAISUU)</f>
        <v/>
      </c>
    </row>
    <row r="1234" spans="1:7" ht="15" customHeight="1">
      <c r="A1234" s="201"/>
      <c r="B1234" s="74" t="s">
        <v>645</v>
      </c>
      <c r="C1234" s="14" t="s">
        <v>2463</v>
      </c>
      <c r="D1234" s="241"/>
      <c r="E1234" s="14" t="s">
        <v>2473</v>
      </c>
      <c r="F1234" s="44" t="str">
        <f>IF(wskakunin_koutei_izen04_KOUTEI_TEXT="","",wskakunin_koutei_izen04_KOUTEI_TEXT)</f>
        <v/>
      </c>
    </row>
    <row r="1235" spans="1:7" ht="15" customHeight="1">
      <c r="A1235" s="201"/>
      <c r="B1235" s="116" t="s">
        <v>734</v>
      </c>
      <c r="C1235" s="14" t="s">
        <v>2464</v>
      </c>
      <c r="D1235" s="241"/>
      <c r="E1235" s="14" t="s">
        <v>2474</v>
      </c>
      <c r="F1235" s="44" t="str">
        <f>IF(wskakunin_koutei_izen04_INTER_ISSUE_NAME="","",wskakunin_koutei_izen04_INTER_ISSUE_NAME)</f>
        <v/>
      </c>
    </row>
    <row r="1236" spans="1:7" ht="15" customHeight="1">
      <c r="A1236" s="201"/>
      <c r="B1236" s="116" t="s">
        <v>735</v>
      </c>
      <c r="C1236" s="14" t="s">
        <v>2465</v>
      </c>
      <c r="D1236" s="241"/>
      <c r="E1236" s="14" t="s">
        <v>2475</v>
      </c>
      <c r="F1236" s="44" t="str">
        <f>IF(wskakunin_koutei_izen04_INTER_ISSUE_NO="","",wskakunin_koutei_izen04_INTER_ISSUE_NO)</f>
        <v/>
      </c>
    </row>
    <row r="1237" spans="1:7" ht="15" customHeight="1">
      <c r="A1237" s="201"/>
      <c r="B1237" s="116" t="s">
        <v>736</v>
      </c>
      <c r="C1237" s="14" t="s">
        <v>2466</v>
      </c>
      <c r="D1237" s="261"/>
      <c r="E1237" s="14" t="s">
        <v>2476</v>
      </c>
      <c r="F1237" s="261" t="str">
        <f>IF(wskakunin_koutei_izen04_INTER_ISSUE_DATE="","",wskakunin_koutei_izen04_INTER_ISSUE_DATE)</f>
        <v/>
      </c>
    </row>
    <row r="1238" spans="1:7" ht="15" customHeight="1">
      <c r="A1238" s="202"/>
      <c r="B1238" s="75"/>
    </row>
    <row r="1239" spans="1:7" ht="15" customHeight="1">
      <c r="A1239" s="200" t="s">
        <v>2477</v>
      </c>
      <c r="B1239" s="183" t="s">
        <v>2446</v>
      </c>
      <c r="G1239" s="14" t="s">
        <v>2346</v>
      </c>
    </row>
    <row r="1240" spans="1:7" ht="15" customHeight="1">
      <c r="A1240" s="201"/>
      <c r="B1240" s="75" t="s">
        <v>2351</v>
      </c>
      <c r="E1240" s="14" t="s">
        <v>2372</v>
      </c>
      <c r="F1240" s="44" t="str">
        <f ca="1">IF(chk_JOB_KIND_kakunin=1,"",cst_wskakunin_koutei_izen01_KOUTEI_KAISUU)</f>
        <v/>
      </c>
    </row>
    <row r="1241" spans="1:7" ht="15" customHeight="1">
      <c r="A1241" s="201"/>
      <c r="B1241" s="74" t="s">
        <v>2352</v>
      </c>
      <c r="E1241" s="14" t="s">
        <v>2373</v>
      </c>
      <c r="F1241" s="44" t="str">
        <f ca="1">IF(chk_JOB_KIND_kakunin=1,"",cst_wskakunin_koutei_izen01_KOUTEI_TEXT)</f>
        <v/>
      </c>
    </row>
    <row r="1242" spans="1:7" ht="15" customHeight="1">
      <c r="A1242" s="201"/>
      <c r="B1242" s="116" t="s">
        <v>2353</v>
      </c>
      <c r="E1242" s="14" t="s">
        <v>2376</v>
      </c>
      <c r="F1242" s="44" t="str">
        <f ca="1">IF(chk_JOB_KIND_kakunin=1,"",cst_wskakunin_koutei_izen01_INTER_ISSUE_NAME)</f>
        <v/>
      </c>
    </row>
    <row r="1243" spans="1:7" ht="15" customHeight="1">
      <c r="A1243" s="201"/>
      <c r="B1243" s="116" t="s">
        <v>2354</v>
      </c>
      <c r="E1243" s="14" t="s">
        <v>2374</v>
      </c>
      <c r="F1243" s="44" t="str">
        <f ca="1">IF(chk_JOB_KIND_kakunin=1,"",cst_wskakunin_koutei_izen01_INTER_ISSUE_NO)</f>
        <v/>
      </c>
    </row>
    <row r="1244" spans="1:7" ht="15" customHeight="1">
      <c r="A1244" s="201"/>
      <c r="B1244" s="116" t="s">
        <v>2355</v>
      </c>
      <c r="E1244" s="14" t="s">
        <v>2375</v>
      </c>
      <c r="F1244" s="263" t="str">
        <f ca="1">IF(chk_JOB_KIND_kakunin=1,"",cst_wskakunin_koutei_izen01_INTER_ISSUE_DATE)</f>
        <v/>
      </c>
    </row>
    <row r="1245" spans="1:7" ht="15" customHeight="1">
      <c r="A1245" s="201"/>
      <c r="B1245" s="75"/>
    </row>
    <row r="1246" spans="1:7" ht="15" customHeight="1">
      <c r="A1246" s="200" t="s">
        <v>2477</v>
      </c>
      <c r="B1246" s="183" t="s">
        <v>2447</v>
      </c>
      <c r="G1246" s="14" t="s">
        <v>2382</v>
      </c>
    </row>
    <row r="1247" spans="1:7" ht="15" customHeight="1">
      <c r="A1247" s="201"/>
      <c r="B1247" s="75" t="s">
        <v>2351</v>
      </c>
      <c r="E1247" s="14" t="s">
        <v>2377</v>
      </c>
      <c r="F1247" s="44" t="str">
        <f ca="1">IF(chk_INTER1_state_in_conf=1,cst_wskakunin_koutei01_KOUTEI_KAISUU,"")</f>
        <v/>
      </c>
    </row>
    <row r="1248" spans="1:7" ht="15" customHeight="1">
      <c r="A1248" s="201"/>
      <c r="B1248" s="74" t="s">
        <v>2352</v>
      </c>
      <c r="E1248" s="14" t="s">
        <v>2378</v>
      </c>
      <c r="F1248" s="44" t="str">
        <f ca="1">IF(chk_INTER1_state_in_conf=1,cst_wskakunin_koutei01_KOUTEI_TEXT,"")</f>
        <v/>
      </c>
    </row>
    <row r="1249" spans="1:7" ht="15" customHeight="1">
      <c r="A1249" s="201"/>
      <c r="B1249" s="116" t="s">
        <v>2353</v>
      </c>
      <c r="E1249" s="14" t="s">
        <v>2379</v>
      </c>
      <c r="F1249" s="44" t="str">
        <f ca="1">IF(chk_INTER1_state_in_conf=1,cst_wskakunin_KIKAN_NAME,"")</f>
        <v/>
      </c>
    </row>
    <row r="1250" spans="1:7" ht="15" customHeight="1">
      <c r="A1250" s="201"/>
      <c r="B1250" s="116" t="s">
        <v>2354</v>
      </c>
      <c r="E1250" s="14" t="s">
        <v>2380</v>
      </c>
      <c r="F1250" s="44" t="str">
        <f ca="1">IF(chk_INTER1_state_in_conf=1,"第   KAK建合        号","")</f>
        <v/>
      </c>
    </row>
    <row r="1251" spans="1:7" ht="15" customHeight="1">
      <c r="A1251" s="201"/>
      <c r="B1251" s="116" t="s">
        <v>2355</v>
      </c>
      <c r="E1251" s="14" t="s">
        <v>2381</v>
      </c>
      <c r="F1251" s="263" t="str">
        <f ca="1">IF(chk_INTER1_state_in_conf=1,"","")</f>
        <v/>
      </c>
    </row>
    <row r="1252" spans="1:7" ht="15" customHeight="1">
      <c r="A1252" s="202"/>
      <c r="B1252" s="75"/>
    </row>
    <row r="1253" spans="1:7" ht="15" customHeight="1">
      <c r="A1253" s="200" t="s">
        <v>2478</v>
      </c>
      <c r="B1253" s="183" t="s">
        <v>2446</v>
      </c>
      <c r="G1253" s="14" t="s">
        <v>2346</v>
      </c>
    </row>
    <row r="1254" spans="1:7" ht="15" customHeight="1">
      <c r="A1254" s="201"/>
      <c r="B1254" s="75" t="s">
        <v>2351</v>
      </c>
      <c r="E1254" s="14" t="s">
        <v>2479</v>
      </c>
      <c r="F1254" s="44" t="str">
        <f ca="1">IF(chk_JOB_KIND_kakunin=1,"",cst_wskakunin_koutei_izen02_KOUTEI_KAISUU)</f>
        <v/>
      </c>
    </row>
    <row r="1255" spans="1:7" ht="15" customHeight="1">
      <c r="A1255" s="201"/>
      <c r="B1255" s="74" t="s">
        <v>2352</v>
      </c>
      <c r="E1255" s="14" t="s">
        <v>2480</v>
      </c>
      <c r="F1255" s="44" t="str">
        <f ca="1">IF(chk_JOB_KIND_kakunin=1,"",cst_wskakunin_koutei_izen02_KOUTEI_TEXT)</f>
        <v/>
      </c>
    </row>
    <row r="1256" spans="1:7" ht="15" customHeight="1">
      <c r="A1256" s="201"/>
      <c r="B1256" s="116" t="s">
        <v>2353</v>
      </c>
      <c r="E1256" s="14" t="s">
        <v>2481</v>
      </c>
      <c r="F1256" s="44" t="str">
        <f ca="1">IF(chk_JOB_KIND_kakunin=1,"",cst_wskakunin_koutei_izen02_INTER_ISSUE_NAME)</f>
        <v/>
      </c>
    </row>
    <row r="1257" spans="1:7" ht="15" customHeight="1">
      <c r="A1257" s="201"/>
      <c r="B1257" s="116" t="s">
        <v>2354</v>
      </c>
      <c r="E1257" s="14" t="s">
        <v>2482</v>
      </c>
      <c r="F1257" s="44" t="str">
        <f ca="1">IF(chk_JOB_KIND_kakunin=1,"",cst_wskakunin_koutei_izen02_INTER_ISSUE_NO)</f>
        <v/>
      </c>
    </row>
    <row r="1258" spans="1:7" ht="15" customHeight="1">
      <c r="A1258" s="201"/>
      <c r="B1258" s="116" t="s">
        <v>2355</v>
      </c>
      <c r="E1258" s="14" t="s">
        <v>2483</v>
      </c>
      <c r="F1258" s="263" t="str">
        <f ca="1">IF(chk_JOB_KIND_kakunin=1,"",cst_wskakunin_koutei_izen02_INTER_ISSUE_DATE)</f>
        <v/>
      </c>
    </row>
    <row r="1259" spans="1:7" ht="15" customHeight="1">
      <c r="A1259" s="201"/>
      <c r="B1259" s="75"/>
    </row>
    <row r="1260" spans="1:7" ht="15" customHeight="1">
      <c r="A1260" s="200" t="s">
        <v>2478</v>
      </c>
      <c r="B1260" s="183" t="s">
        <v>2447</v>
      </c>
      <c r="G1260" s="14" t="s">
        <v>2346</v>
      </c>
    </row>
    <row r="1261" spans="1:7" ht="15" customHeight="1">
      <c r="A1261" s="201"/>
      <c r="B1261" s="75" t="s">
        <v>2351</v>
      </c>
      <c r="E1261" s="14" t="s">
        <v>2484</v>
      </c>
      <c r="F1261" s="44" t="str">
        <f ca="1">IF(chk_INTER1_state_in_conf=1,"","")</f>
        <v/>
      </c>
    </row>
    <row r="1262" spans="1:7" ht="15" customHeight="1">
      <c r="A1262" s="201"/>
      <c r="B1262" s="74" t="s">
        <v>2352</v>
      </c>
      <c r="E1262" s="14" t="s">
        <v>2485</v>
      </c>
      <c r="F1262" s="44" t="str">
        <f ca="1">IF(chk_INTER1_state_in_conf=1,"","")</f>
        <v/>
      </c>
    </row>
    <row r="1263" spans="1:7" ht="15" customHeight="1">
      <c r="A1263" s="201"/>
      <c r="B1263" s="116" t="s">
        <v>2353</v>
      </c>
      <c r="E1263" s="14" t="s">
        <v>2486</v>
      </c>
      <c r="F1263" s="44" t="str">
        <f ca="1">IF(chk_INTER1_state_in_conf=1,"","")</f>
        <v/>
      </c>
    </row>
    <row r="1264" spans="1:7" ht="15" customHeight="1">
      <c r="A1264" s="201"/>
      <c r="B1264" s="116" t="s">
        <v>2354</v>
      </c>
      <c r="E1264" s="14" t="s">
        <v>2487</v>
      </c>
      <c r="F1264" s="44" t="str">
        <f ca="1">IF(chk_INTER1_state_in_conf=1,"","")</f>
        <v/>
      </c>
    </row>
    <row r="1265" spans="1:7" ht="15" customHeight="1">
      <c r="A1265" s="201"/>
      <c r="B1265" s="116" t="s">
        <v>2355</v>
      </c>
      <c r="E1265" s="14" t="s">
        <v>2488</v>
      </c>
      <c r="F1265" s="263" t="str">
        <f ca="1">IF(chk_INTER1_state_in_conf=1,"","")</f>
        <v/>
      </c>
    </row>
    <row r="1266" spans="1:7" ht="15" customHeight="1">
      <c r="A1266" s="202"/>
      <c r="B1266" s="75"/>
    </row>
    <row r="1267" spans="1:7" ht="15" customHeight="1">
      <c r="A1267" s="189" t="s">
        <v>737</v>
      </c>
      <c r="B1267" s="110"/>
    </row>
    <row r="1268" spans="1:7" ht="15" customHeight="1">
      <c r="A1268" s="200" t="s">
        <v>1267</v>
      </c>
      <c r="B1268" s="183"/>
    </row>
    <row r="1269" spans="1:7" ht="15" customHeight="1">
      <c r="A1269" s="201"/>
      <c r="B1269" s="75" t="s">
        <v>718</v>
      </c>
      <c r="C1269" s="14" t="s">
        <v>1390</v>
      </c>
      <c r="D1269" s="241"/>
      <c r="E1269" s="14" t="s">
        <v>2392</v>
      </c>
      <c r="F1269" s="44" t="str">
        <f>IF(wskakunin_koutei_ikou01_KOUTEI_KAISUU="","",wskakunin_koutei_ikou01_KOUTEI_KAISUU)</f>
        <v/>
      </c>
    </row>
    <row r="1270" spans="1:7" ht="15" customHeight="1">
      <c r="A1270" s="201"/>
      <c r="B1270" s="74" t="s">
        <v>645</v>
      </c>
      <c r="C1270" s="14" t="s">
        <v>1391</v>
      </c>
      <c r="D1270" s="241"/>
      <c r="E1270" s="14" t="s">
        <v>2393</v>
      </c>
      <c r="F1270" s="44" t="str">
        <f>IF(wskakunin_koutei_ikou01_KOUTEI_TEXT="","",wskakunin_koutei_ikou01_KOUTEI_TEXT)</f>
        <v/>
      </c>
    </row>
    <row r="1271" spans="1:7" ht="15" customHeight="1">
      <c r="A1271" s="201"/>
      <c r="B1271" s="74" t="s">
        <v>738</v>
      </c>
      <c r="C1271" s="14" t="s">
        <v>1392</v>
      </c>
      <c r="D1271" s="263"/>
      <c r="E1271" s="14" t="s">
        <v>2394</v>
      </c>
      <c r="F1271" s="263" t="str">
        <f>IF(wskakunin_koutei_ikou01_KOUTEI_DATE="","",wskakunin_koutei_ikou01_KOUTEI_DATE)</f>
        <v/>
      </c>
    </row>
    <row r="1272" spans="1:7" ht="15" customHeight="1">
      <c r="A1272" s="202"/>
      <c r="B1272" s="75"/>
    </row>
    <row r="1273" spans="1:7" ht="15" customHeight="1">
      <c r="A1273" s="200" t="s">
        <v>2455</v>
      </c>
      <c r="B1273" s="183"/>
    </row>
    <row r="1274" spans="1:7" ht="15" customHeight="1">
      <c r="A1274" s="201"/>
      <c r="B1274" s="75" t="s">
        <v>718</v>
      </c>
      <c r="C1274" s="14" t="s">
        <v>1393</v>
      </c>
      <c r="D1274" s="241"/>
      <c r="E1274" s="14" t="s">
        <v>2402</v>
      </c>
      <c r="F1274" s="44" t="str">
        <f>IF(wskakunin_koutei_ikou02_KOUTEI_KAISUU="","",wskakunin_koutei_ikou02_KOUTEI_KAISUU)</f>
        <v/>
      </c>
    </row>
    <row r="1275" spans="1:7" ht="15" customHeight="1">
      <c r="A1275" s="201"/>
      <c r="B1275" s="74" t="s">
        <v>645</v>
      </c>
      <c r="C1275" s="14" t="s">
        <v>1394</v>
      </c>
      <c r="D1275" s="241"/>
      <c r="E1275" s="14" t="s">
        <v>2403</v>
      </c>
      <c r="F1275" s="44" t="str">
        <f>IF(wskakunin_koutei_ikou02_KOUTEI_TEXT="","",wskakunin_koutei_ikou02_KOUTEI_TEXT)</f>
        <v/>
      </c>
    </row>
    <row r="1276" spans="1:7" ht="15" customHeight="1">
      <c r="A1276" s="201"/>
      <c r="B1276" s="74" t="s">
        <v>738</v>
      </c>
      <c r="C1276" s="14" t="s">
        <v>1395</v>
      </c>
      <c r="D1276" s="263"/>
      <c r="E1276" s="14" t="s">
        <v>2404</v>
      </c>
      <c r="F1276" s="263" t="str">
        <f>IF(wskakunin_koutei_ikou02_KOUTEI_DATE="","",wskakunin_koutei_ikou02_KOUTEI_DATE)</f>
        <v/>
      </c>
    </row>
    <row r="1277" spans="1:7" ht="15" customHeight="1">
      <c r="A1277" s="202"/>
      <c r="B1277" s="75"/>
    </row>
    <row r="1278" spans="1:7" ht="15" customHeight="1">
      <c r="A1278" s="200" t="s">
        <v>2489</v>
      </c>
      <c r="B1278" s="183" t="s">
        <v>2446</v>
      </c>
      <c r="G1278" s="14" t="s">
        <v>2347</v>
      </c>
    </row>
    <row r="1279" spans="1:7" ht="15" customHeight="1">
      <c r="A1279" s="201"/>
      <c r="B1279" s="75" t="s">
        <v>2351</v>
      </c>
      <c r="E1279" s="14" t="s">
        <v>2407</v>
      </c>
      <c r="F1279" s="44" t="str">
        <f ca="1">IF(chk_INTER2_state_in_conf=1,cst_wskakunin_koutei02_KOUTEI_KAISUU,cst_wskakunin_koutei_ikou01_KOUTEI_KAISUU)</f>
        <v/>
      </c>
    </row>
    <row r="1280" spans="1:7" ht="15" customHeight="1">
      <c r="A1280" s="201"/>
      <c r="B1280" s="74" t="s">
        <v>2352</v>
      </c>
      <c r="E1280" s="14" t="s">
        <v>2408</v>
      </c>
      <c r="F1280" s="44" t="str">
        <f ca="1">IF(chk_INTER2_state_in_conf=1,cst_wskakunin_koutei02_KOUTEI_TEXT,cst_wskakunin_koutei_ikou01_KOUTEI_TEXT)</f>
        <v/>
      </c>
    </row>
    <row r="1281" spans="1:7" ht="15" customHeight="1">
      <c r="A1281" s="201"/>
      <c r="B1281" s="74" t="s">
        <v>2391</v>
      </c>
      <c r="E1281" s="14" t="s">
        <v>2395</v>
      </c>
      <c r="F1281" s="263" t="str">
        <f ca="1">IF(chk_INTER2_state_in_conf=1,cst_wskakunin_koutei02_KOUTEI_DATE,cst_wskakunin_koutei_ikou01_KOUTEI_DATE)</f>
        <v/>
      </c>
    </row>
    <row r="1282" spans="1:7" ht="15" customHeight="1">
      <c r="A1282" s="202"/>
      <c r="B1282" s="75"/>
    </row>
    <row r="1283" spans="1:7" ht="15" customHeight="1">
      <c r="A1283" s="200" t="s">
        <v>2489</v>
      </c>
      <c r="B1283" s="155" t="s">
        <v>2447</v>
      </c>
      <c r="G1283" s="14" t="s">
        <v>2390</v>
      </c>
    </row>
    <row r="1284" spans="1:7" ht="15" customHeight="1">
      <c r="A1284" s="201"/>
      <c r="B1284" s="75" t="s">
        <v>2351</v>
      </c>
      <c r="E1284" s="14" t="s">
        <v>2409</v>
      </c>
      <c r="F1284" s="44" t="str">
        <f ca="1">IF(chk_INTER3_state_in_conf=1,cst_wskakunin_koutei03_KOUTEI_KAISUU,"")</f>
        <v/>
      </c>
    </row>
    <row r="1285" spans="1:7" ht="15" customHeight="1">
      <c r="A1285" s="201"/>
      <c r="B1285" s="74" t="s">
        <v>2352</v>
      </c>
      <c r="E1285" s="14" t="s">
        <v>2396</v>
      </c>
      <c r="F1285" s="44" t="str">
        <f ca="1">IF(chk_INTER3_state_in_conf=1,cst_wskakunin_koutei03_KOUTEI_TEXT,"")</f>
        <v/>
      </c>
    </row>
    <row r="1286" spans="1:7" ht="15" customHeight="1">
      <c r="A1286" s="201"/>
      <c r="B1286" s="74" t="s">
        <v>2391</v>
      </c>
      <c r="E1286" s="14" t="s">
        <v>2397</v>
      </c>
      <c r="F1286" s="263" t="str">
        <f ca="1">IF(chk_INTER3_state_in_conf=1,cst_wskakunin_koutei03_KOUTEI_DATE,"")</f>
        <v/>
      </c>
    </row>
    <row r="1287" spans="1:7" ht="15" customHeight="1">
      <c r="A1287" s="202"/>
      <c r="B1287" s="75"/>
    </row>
    <row r="1288" spans="1:7" ht="15" customHeight="1">
      <c r="A1288" s="200" t="s">
        <v>2490</v>
      </c>
      <c r="B1288" s="183" t="s">
        <v>2446</v>
      </c>
      <c r="G1288" s="14" t="s">
        <v>2400</v>
      </c>
    </row>
    <row r="1289" spans="1:7" ht="15" customHeight="1">
      <c r="A1289" s="201"/>
      <c r="B1289" s="75" t="s">
        <v>2351</v>
      </c>
      <c r="E1289" s="14" t="s">
        <v>2410</v>
      </c>
      <c r="F1289" s="44" t="str">
        <f ca="1">IF(chk_INTER2_state_in_conf=1,cst_wskakunin_koutei02_KOUTEI_KAISUU,cst_wskakunin_koutei_ikou02_KOUTEI_KAISUU)</f>
        <v/>
      </c>
    </row>
    <row r="1290" spans="1:7" ht="15" customHeight="1">
      <c r="A1290" s="201"/>
      <c r="B1290" s="74" t="s">
        <v>2352</v>
      </c>
      <c r="E1290" s="14" t="s">
        <v>2411</v>
      </c>
      <c r="F1290" s="44" t="str">
        <f ca="1">IF(chk_INTER2_state_in_conf=1,cst_wskakunin_koutei02_KOUTEI_TEXT,cst_wskakunin_koutei_ikou02_KOUTEI_TEXT)</f>
        <v/>
      </c>
    </row>
    <row r="1291" spans="1:7" ht="15" customHeight="1">
      <c r="A1291" s="201"/>
      <c r="B1291" s="74" t="s">
        <v>2391</v>
      </c>
      <c r="E1291" s="14" t="s">
        <v>2398</v>
      </c>
      <c r="F1291" s="263" t="str">
        <f ca="1">IF(chk_INTER2_state_in_conf=1,cst_wskakunin_koutei02_KOUTEI_DATE,cst_wskakunin_koutei_ikou02_KOUTEI_DATE)</f>
        <v/>
      </c>
    </row>
    <row r="1292" spans="1:7" ht="15" customHeight="1">
      <c r="A1292" s="202"/>
      <c r="B1292" s="75"/>
    </row>
    <row r="1293" spans="1:7" ht="15" customHeight="1">
      <c r="A1293" s="200" t="s">
        <v>2490</v>
      </c>
      <c r="B1293" s="155" t="s">
        <v>2447</v>
      </c>
      <c r="G1293" s="14" t="s">
        <v>2401</v>
      </c>
    </row>
    <row r="1294" spans="1:7" ht="15" customHeight="1">
      <c r="A1294" s="201"/>
      <c r="B1294" s="75" t="s">
        <v>2351</v>
      </c>
      <c r="E1294" s="14" t="s">
        <v>2412</v>
      </c>
      <c r="F1294" s="44" t="str">
        <f ca="1">IF(chk_INTER3_state_in_conf=1,cst_wskakunin_koutei03_KOUTEI_KAISUU,"")</f>
        <v/>
      </c>
    </row>
    <row r="1295" spans="1:7" ht="15" customHeight="1">
      <c r="A1295" s="201"/>
      <c r="B1295" s="74" t="s">
        <v>2352</v>
      </c>
      <c r="E1295" s="14" t="s">
        <v>2399</v>
      </c>
      <c r="F1295" s="44" t="str">
        <f ca="1">IF(chk_INTER3_state_in_conf=1,cst_wskakunin_koutei03_KOUTEI_TEXT,"")</f>
        <v/>
      </c>
    </row>
    <row r="1296" spans="1:7" ht="15" customHeight="1">
      <c r="A1296" s="201"/>
      <c r="B1296" s="74" t="s">
        <v>2391</v>
      </c>
      <c r="E1296" s="14" t="s">
        <v>2413</v>
      </c>
      <c r="F1296" s="263" t="str">
        <f ca="1">IF(chk_INTER3_state_in_conf=1,cst_wskakunin_koutei03_KOUTEI_DATE,"")</f>
        <v/>
      </c>
    </row>
    <row r="1297" spans="1:7" ht="15" customHeight="1">
      <c r="A1297" s="203"/>
      <c r="B1297" s="188"/>
    </row>
    <row r="1298" spans="1:7" ht="15" customHeight="1">
      <c r="A1298" s="185" t="s">
        <v>739</v>
      </c>
      <c r="B1298" s="49"/>
      <c r="C1298" s="496" t="s">
        <v>2266</v>
      </c>
    </row>
    <row r="1299" spans="1:7" ht="15" customHeight="1">
      <c r="A1299" s="50"/>
      <c r="B1299" s="80" t="s">
        <v>740</v>
      </c>
      <c r="C1299" s="14" t="s">
        <v>2267</v>
      </c>
      <c r="D1299" s="241"/>
      <c r="E1299" s="14" t="s">
        <v>2405</v>
      </c>
      <c r="F1299" s="44" t="str">
        <f>IF(wskakunin_keibi_henkou01_HENKOU_SYURUI="","",wskakunin_keibi_henkou01_HENKOU_SYURUI)</f>
        <v/>
      </c>
    </row>
    <row r="1300" spans="1:7" ht="15" customHeight="1">
      <c r="A1300" s="50"/>
      <c r="B1300" s="80" t="s">
        <v>741</v>
      </c>
      <c r="C1300" s="14" t="s">
        <v>2268</v>
      </c>
      <c r="D1300" s="241"/>
      <c r="E1300" s="14" t="s">
        <v>2406</v>
      </c>
      <c r="F1300" s="44" t="str">
        <f>IF(wskakunin_keibi_henkou01_HENKOU_GAIYOU="","",wskakunin_keibi_henkou01_HENKOU_GAIYOU)</f>
        <v/>
      </c>
    </row>
    <row r="1301" spans="1:7" ht="15" customHeight="1">
      <c r="A1301" s="179"/>
      <c r="B1301" s="188"/>
      <c r="C1301" s="17"/>
    </row>
    <row r="1302" spans="1:7" ht="15" customHeight="1">
      <c r="A1302" s="181" t="s">
        <v>1291</v>
      </c>
      <c r="B1302" s="107" t="s">
        <v>118</v>
      </c>
      <c r="F1302" s="14" t="s">
        <v>2417</v>
      </c>
      <c r="G1302" s="14" t="s">
        <v>2416</v>
      </c>
    </row>
    <row r="1303" spans="1:7" ht="15" customHeight="1">
      <c r="A1303" s="185" t="s">
        <v>2752</v>
      </c>
      <c r="B1303" s="187"/>
      <c r="C1303" s="14" t="s">
        <v>2345</v>
      </c>
      <c r="D1303" s="263"/>
      <c r="E1303" s="14" t="s">
        <v>2361</v>
      </c>
      <c r="F1303" s="263" t="str">
        <f ca="1">IF(chk_JOB_KIND_kakunin=1,"",IF(wskakunin_KOUJI_KANRYOU_DATE="","",wskakunin_KOUJI_KANRYOU_DATE))</f>
        <v/>
      </c>
      <c r="G1303" s="14" t="s">
        <v>2346</v>
      </c>
    </row>
    <row r="1304" spans="1:7" ht="15" customHeight="1">
      <c r="A1304" s="89" t="s">
        <v>2419</v>
      </c>
      <c r="B1304" s="110"/>
    </row>
    <row r="1305" spans="1:7" ht="15" customHeight="1">
      <c r="A1305" s="182" t="s">
        <v>2421</v>
      </c>
      <c r="B1305" s="183" t="s">
        <v>2436</v>
      </c>
    </row>
    <row r="1306" spans="1:7" ht="15" customHeight="1">
      <c r="A1306" s="50"/>
      <c r="B1306" s="75" t="s">
        <v>718</v>
      </c>
      <c r="E1306" s="14" t="s">
        <v>1269</v>
      </c>
      <c r="F1306" s="14" t="str">
        <f>cst_wskakunin_koutei01_KOUTEI_KAISUU</f>
        <v/>
      </c>
    </row>
    <row r="1307" spans="1:7" ht="15" customHeight="1">
      <c r="A1307" s="50"/>
      <c r="B1307" s="75" t="s">
        <v>645</v>
      </c>
      <c r="E1307" s="14" t="s">
        <v>1273</v>
      </c>
      <c r="F1307" s="14" t="str">
        <f>cst_wskakunin_koutei01_KOUTEI_TEXT</f>
        <v/>
      </c>
    </row>
    <row r="1308" spans="1:7" ht="15" customHeight="1">
      <c r="A1308" s="50"/>
      <c r="B1308" s="75" t="s">
        <v>2420</v>
      </c>
      <c r="C1308" s="14" t="s">
        <v>2426</v>
      </c>
      <c r="D1308" s="241"/>
      <c r="E1308" s="14" t="s">
        <v>2438</v>
      </c>
      <c r="F1308" s="44" t="str">
        <f>IF(wskakunin_koutei01_INTER_ISSUE_NAME="","",wskakunin_koutei01_INTER_ISSUE_NAME)</f>
        <v/>
      </c>
    </row>
    <row r="1309" spans="1:7" ht="15" customHeight="1">
      <c r="A1309" s="50"/>
      <c r="B1309" s="75" t="s">
        <v>735</v>
      </c>
      <c r="C1309" s="14" t="s">
        <v>2427</v>
      </c>
      <c r="D1309" s="241"/>
      <c r="E1309" s="14" t="s">
        <v>2439</v>
      </c>
      <c r="F1309" s="44" t="str">
        <f>IF(wskakunin_koutei01_INTER_ISSUE_NO="","",wskakunin_koutei01_INTER_ISSUE_NO)</f>
        <v/>
      </c>
    </row>
    <row r="1310" spans="1:7" ht="15" customHeight="1">
      <c r="A1310" s="50"/>
      <c r="B1310" s="75" t="s">
        <v>736</v>
      </c>
      <c r="C1310" s="14" t="s">
        <v>2428</v>
      </c>
      <c r="D1310" s="263"/>
      <c r="E1310" s="14" t="s">
        <v>2440</v>
      </c>
      <c r="F1310" s="263" t="str">
        <f>IF(wskakunin_koutei01_INTER_ISSUE_DATE="","",wskakunin_koutei01_INTER_ISSUE_DATE)</f>
        <v/>
      </c>
    </row>
    <row r="1311" spans="1:7" ht="15" customHeight="1">
      <c r="A1311" s="50"/>
      <c r="B1311" s="75" t="s">
        <v>3211</v>
      </c>
      <c r="D1311" s="198"/>
      <c r="E1311" s="14" t="s">
        <v>3212</v>
      </c>
      <c r="F1311" s="489" t="str">
        <f>IF(COUNTIF(D1308:D1310,"&lt;&gt;")&gt;0,"有","無")</f>
        <v>無</v>
      </c>
    </row>
    <row r="1312" spans="1:7" ht="15" customHeight="1">
      <c r="A1312" s="182"/>
      <c r="B1312" s="199" t="s">
        <v>2437</v>
      </c>
      <c r="D1312" s="198"/>
      <c r="F1312" s="198"/>
    </row>
    <row r="1313" spans="1:6" ht="15" customHeight="1">
      <c r="A1313" s="50"/>
      <c r="B1313" s="75" t="s">
        <v>718</v>
      </c>
      <c r="D1313" s="198"/>
      <c r="E1313" s="14" t="s">
        <v>2442</v>
      </c>
      <c r="F1313" s="261" t="e">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#NAME?</v>
      </c>
    </row>
    <row r="1314" spans="1:6" ht="15" customHeight="1">
      <c r="A1314" s="50"/>
      <c r="B1314" s="75" t="s">
        <v>645</v>
      </c>
      <c r="D1314" s="198"/>
      <c r="E1314" s="14" t="s">
        <v>2443</v>
      </c>
      <c r="F1314" s="261"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屋根の小屋組工事及び構造耐力上主要な軸組の工事</v>
      </c>
    </row>
    <row r="1315" spans="1:6" ht="15" customHeight="1">
      <c r="A1315" s="50"/>
      <c r="B1315" s="75" t="s">
        <v>2420</v>
      </c>
      <c r="D1315" s="198"/>
      <c r="E1315" s="14" t="s">
        <v>2444</v>
      </c>
      <c r="F1315" s="261" t="e">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#NAME?</v>
      </c>
    </row>
    <row r="1316" spans="1:6" ht="15" customHeight="1">
      <c r="A1316" s="50"/>
      <c r="B1316" s="75" t="s">
        <v>735</v>
      </c>
      <c r="D1316" s="198"/>
      <c r="E1316" s="14" t="s">
        <v>2445</v>
      </c>
      <c r="F1316" s="261" t="e">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#NAME?</v>
      </c>
    </row>
    <row r="1317" spans="1:6" ht="15" customHeight="1">
      <c r="A1317" s="50"/>
      <c r="B1317" s="75" t="s">
        <v>736</v>
      </c>
      <c r="D1317" s="198"/>
      <c r="E1317" s="14" t="s">
        <v>2441</v>
      </c>
      <c r="F1317" s="263"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18" spans="1:6" ht="15" customHeight="1">
      <c r="A1318" s="184"/>
      <c r="B1318" s="75"/>
    </row>
    <row r="1319" spans="1:6" ht="15" customHeight="1">
      <c r="A1319" s="50" t="s">
        <v>2422</v>
      </c>
      <c r="B1319" s="183" t="s">
        <v>2436</v>
      </c>
    </row>
    <row r="1320" spans="1:6" ht="15" customHeight="1">
      <c r="A1320" s="50"/>
      <c r="B1320" s="75" t="s">
        <v>718</v>
      </c>
      <c r="E1320" s="14" t="s">
        <v>636</v>
      </c>
      <c r="F1320" s="14" t="str">
        <f>cst_wskakunin_koutei02_KOUTEI_KAISUU</f>
        <v/>
      </c>
    </row>
    <row r="1321" spans="1:6" ht="15" customHeight="1">
      <c r="A1321" s="50"/>
      <c r="B1321" s="75" t="s">
        <v>645</v>
      </c>
      <c r="E1321" s="14" t="s">
        <v>638</v>
      </c>
      <c r="F1321" s="14" t="str">
        <f>cst_wskakunin_koutei02_KOUTEI_TEXT</f>
        <v/>
      </c>
    </row>
    <row r="1322" spans="1:6" ht="15" customHeight="1">
      <c r="A1322" s="50"/>
      <c r="B1322" s="75" t="s">
        <v>2420</v>
      </c>
      <c r="C1322" s="14" t="s">
        <v>2423</v>
      </c>
      <c r="D1322" s="241"/>
      <c r="E1322" s="14" t="s">
        <v>2448</v>
      </c>
      <c r="F1322" s="44" t="str">
        <f>IF(wskakunin_koutei02_INTER_ISSUE_NAME="","",wskakunin_koutei02_INTER_ISSUE_NAME)</f>
        <v/>
      </c>
    </row>
    <row r="1323" spans="1:6" ht="15" customHeight="1">
      <c r="A1323" s="50"/>
      <c r="B1323" s="75" t="s">
        <v>735</v>
      </c>
      <c r="C1323" s="14" t="s">
        <v>2424</v>
      </c>
      <c r="D1323" s="241"/>
      <c r="E1323" s="14" t="s">
        <v>2449</v>
      </c>
      <c r="F1323" s="44" t="str">
        <f>IF(wskakunin_koutei02_INTER_ISSUE_NO="","",wskakunin_koutei02_INTER_ISSUE_NO)</f>
        <v/>
      </c>
    </row>
    <row r="1324" spans="1:6" ht="15" customHeight="1">
      <c r="A1324" s="50"/>
      <c r="B1324" s="75" t="s">
        <v>736</v>
      </c>
      <c r="C1324" s="14" t="s">
        <v>2425</v>
      </c>
      <c r="D1324" s="263"/>
      <c r="E1324" s="14" t="s">
        <v>2429</v>
      </c>
      <c r="F1324" s="263" t="str">
        <f>IF(wskakunin_koutei02_INTER_ISSUE_DATE="","",wskakunin_koutei02_INTER_ISSUE_DATE)</f>
        <v/>
      </c>
    </row>
    <row r="1325" spans="1:6" ht="15" customHeight="1">
      <c r="A1325" s="50"/>
      <c r="B1325" s="75"/>
      <c r="D1325" s="198"/>
      <c r="F1325" s="198"/>
    </row>
    <row r="1326" spans="1:6" ht="15" customHeight="1">
      <c r="A1326" s="50"/>
      <c r="B1326" s="75"/>
      <c r="D1326" s="198"/>
      <c r="F1326" s="198"/>
    </row>
    <row r="1327" spans="1:6" ht="15" customHeight="1">
      <c r="A1327" s="182"/>
      <c r="B1327" s="199" t="s">
        <v>2437</v>
      </c>
      <c r="D1327" s="198"/>
      <c r="F1327" s="198"/>
    </row>
    <row r="1328" spans="1:6" ht="15" customHeight="1">
      <c r="A1328" s="50"/>
      <c r="B1328" s="75" t="s">
        <v>718</v>
      </c>
      <c r="D1328" s="198"/>
      <c r="E1328" s="14" t="s">
        <v>2450</v>
      </c>
      <c r="F1328" s="261" t="e">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#NAME?</v>
      </c>
    </row>
    <row r="1329" spans="1:6" ht="15" customHeight="1">
      <c r="A1329" s="50"/>
      <c r="B1329" s="75" t="s">
        <v>645</v>
      </c>
      <c r="D1329" s="198"/>
      <c r="E1329" s="14" t="s">
        <v>2451</v>
      </c>
      <c r="F1329" s="261"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30" spans="1:6" ht="15" customHeight="1">
      <c r="A1330" s="50"/>
      <c r="B1330" s="75" t="s">
        <v>2420</v>
      </c>
      <c r="D1330" s="198"/>
      <c r="E1330" s="14" t="s">
        <v>2452</v>
      </c>
      <c r="F1330" s="261" t="e">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#NAME?</v>
      </c>
    </row>
    <row r="1331" spans="1:6" ht="15" customHeight="1">
      <c r="A1331" s="50"/>
      <c r="B1331" s="75" t="s">
        <v>735</v>
      </c>
      <c r="D1331" s="198"/>
      <c r="E1331" s="14" t="s">
        <v>2453</v>
      </c>
      <c r="F1331" s="261" t="e">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#NAME?</v>
      </c>
    </row>
    <row r="1332" spans="1:6" ht="15" customHeight="1">
      <c r="A1332" s="50"/>
      <c r="B1332" s="75" t="s">
        <v>736</v>
      </c>
      <c r="D1332" s="198"/>
      <c r="E1332" s="14" t="s">
        <v>2454</v>
      </c>
      <c r="F1332" s="263"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33" spans="1:6" ht="15" customHeight="1">
      <c r="A1333" s="179"/>
      <c r="B1333" s="197"/>
    </row>
    <row r="1334" spans="1:6" ht="15" customHeight="1">
      <c r="A1334" s="196"/>
      <c r="B1334" s="195"/>
    </row>
    <row r="1335" spans="1:6" ht="15" customHeight="1">
      <c r="A1335" s="44" t="s">
        <v>2758</v>
      </c>
      <c r="B1335" s="44"/>
      <c r="C1335" s="14" t="s">
        <v>2759</v>
      </c>
      <c r="D1335" s="44" t="s">
        <v>140</v>
      </c>
      <c r="E1335" s="14" t="s">
        <v>2760</v>
      </c>
      <c r="F1335" s="44" t="str">
        <f>IF(shinsei_build_YOUTO="","",shinsei_build_YOUTO)</f>
        <v>一戸建ての住宅</v>
      </c>
    </row>
  </sheetData>
  <mergeCells count="1">
    <mergeCell ref="A1070:B1070"/>
  </mergeCells>
  <phoneticPr fontId="5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3:J29"/>
  <sheetViews>
    <sheetView topLeftCell="A13" workbookViewId="0">
      <selection activeCell="I44" sqref="I44"/>
    </sheetView>
  </sheetViews>
  <sheetFormatPr defaultColWidth="9" defaultRowHeight="15" customHeight="1"/>
  <cols>
    <col min="1" max="5" width="2.625" style="14" customWidth="1"/>
    <col min="6" max="7" width="10.625" style="14" customWidth="1"/>
    <col min="8" max="8" width="18.375" style="14" customWidth="1"/>
    <col min="9" max="12" width="20.625" style="14" customWidth="1"/>
    <col min="13" max="13" width="9" style="14" customWidth="1"/>
    <col min="14" max="16384" width="9" style="14"/>
  </cols>
  <sheetData>
    <row r="3" spans="1:9" ht="15" customHeight="1">
      <c r="A3" s="14" t="s">
        <v>1294</v>
      </c>
    </row>
    <row r="4" spans="1:9" ht="15" customHeight="1">
      <c r="H4" s="128" t="s">
        <v>1316</v>
      </c>
      <c r="I4" s="124" t="s">
        <v>1317</v>
      </c>
    </row>
    <row r="5" spans="1:9" ht="15" customHeight="1">
      <c r="H5" s="121">
        <v>0</v>
      </c>
      <c r="I5" s="125" t="s">
        <v>1318</v>
      </c>
    </row>
    <row r="6" spans="1:9" ht="15" customHeight="1">
      <c r="H6" s="122">
        <v>100</v>
      </c>
      <c r="I6" s="126" t="s">
        <v>1319</v>
      </c>
    </row>
    <row r="7" spans="1:9" ht="15" customHeight="1">
      <c r="H7" s="122">
        <v>200</v>
      </c>
      <c r="I7" s="126" t="s">
        <v>1320</v>
      </c>
    </row>
    <row r="8" spans="1:9" ht="15" customHeight="1">
      <c r="H8" s="122">
        <v>300</v>
      </c>
      <c r="I8" s="126" t="s">
        <v>1321</v>
      </c>
    </row>
    <row r="9" spans="1:9" ht="15" customHeight="1">
      <c r="H9" s="123" t="s">
        <v>1297</v>
      </c>
      <c r="I9" s="127"/>
    </row>
    <row r="12" spans="1:9" ht="15" customHeight="1">
      <c r="A12" s="14" t="s">
        <v>1294</v>
      </c>
    </row>
    <row r="13" spans="1:9" ht="15" customHeight="1">
      <c r="H13" s="128" t="s">
        <v>1303</v>
      </c>
      <c r="I13" s="124" t="s">
        <v>1304</v>
      </c>
    </row>
    <row r="14" spans="1:9" ht="15" customHeight="1">
      <c r="H14" s="121">
        <v>1</v>
      </c>
      <c r="I14" s="125" t="s">
        <v>1298</v>
      </c>
    </row>
    <row r="15" spans="1:9" ht="15" customHeight="1">
      <c r="H15" s="122">
        <v>2</v>
      </c>
      <c r="I15" s="126" t="s">
        <v>1299</v>
      </c>
    </row>
    <row r="16" spans="1:9" ht="15" customHeight="1">
      <c r="H16" s="122">
        <v>3</v>
      </c>
      <c r="I16" s="126" t="s">
        <v>1300</v>
      </c>
    </row>
    <row r="17" spans="1:10" ht="15" customHeight="1">
      <c r="H17" s="122">
        <v>4</v>
      </c>
      <c r="I17" s="126" t="s">
        <v>1301</v>
      </c>
    </row>
    <row r="18" spans="1:10" ht="15" customHeight="1">
      <c r="H18" s="122">
        <v>5</v>
      </c>
      <c r="I18" s="126" t="s">
        <v>1302</v>
      </c>
    </row>
    <row r="19" spans="1:10" ht="15" customHeight="1">
      <c r="H19" s="123" t="s">
        <v>1297</v>
      </c>
      <c r="I19" s="127"/>
    </row>
    <row r="21" spans="1:10" ht="15" customHeight="1">
      <c r="H21" s="57"/>
    </row>
    <row r="22" spans="1:10" ht="15" customHeight="1">
      <c r="A22" s="14" t="s">
        <v>1292</v>
      </c>
    </row>
    <row r="23" spans="1:10" ht="15" customHeight="1">
      <c r="H23" s="128" t="s">
        <v>1311</v>
      </c>
      <c r="I23" s="124" t="s">
        <v>1312</v>
      </c>
      <c r="J23" s="194" t="s">
        <v>1319</v>
      </c>
    </row>
    <row r="24" spans="1:10" ht="15" customHeight="1">
      <c r="H24" s="121">
        <v>101</v>
      </c>
      <c r="I24" s="130" t="s">
        <v>1310</v>
      </c>
      <c r="J24" s="191">
        <v>1</v>
      </c>
    </row>
    <row r="25" spans="1:10" ht="15" customHeight="1">
      <c r="H25" s="122">
        <v>102</v>
      </c>
      <c r="I25" s="131" t="s">
        <v>1306</v>
      </c>
      <c r="J25" s="192">
        <v>1</v>
      </c>
    </row>
    <row r="26" spans="1:10" ht="15" customHeight="1">
      <c r="H26" s="122">
        <v>103</v>
      </c>
      <c r="I26" s="131" t="s">
        <v>1307</v>
      </c>
      <c r="J26" s="192">
        <v>3</v>
      </c>
    </row>
    <row r="27" spans="1:10" ht="15" customHeight="1">
      <c r="H27" s="122">
        <v>104</v>
      </c>
      <c r="I27" s="131" t="s">
        <v>1308</v>
      </c>
      <c r="J27" s="192">
        <v>4</v>
      </c>
    </row>
    <row r="28" spans="1:10" ht="15" customHeight="1">
      <c r="H28" s="122">
        <v>999</v>
      </c>
      <c r="I28" s="131" t="s">
        <v>1309</v>
      </c>
      <c r="J28" s="192"/>
    </row>
    <row r="29" spans="1:10" ht="15" customHeight="1">
      <c r="H29" s="129" t="s">
        <v>1297</v>
      </c>
      <c r="I29" s="132"/>
      <c r="J29" s="193"/>
    </row>
  </sheetData>
  <phoneticPr fontId="5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P68"/>
  <sheetViews>
    <sheetView topLeftCell="F1" workbookViewId="0">
      <pane ySplit="2" topLeftCell="A3" activePane="bottomLeft" state="frozen"/>
      <selection pane="bottomLeft"/>
    </sheetView>
  </sheetViews>
  <sheetFormatPr defaultColWidth="9" defaultRowHeight="13.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3" customWidth="1"/>
    <col min="34" max="34" width="23.875" customWidth="1"/>
    <col min="35" max="35" width="7.375" style="3" customWidth="1"/>
    <col min="37" max="37" width="9" style="3" customWidth="1"/>
    <col min="41" max="41" width="8" customWidth="1"/>
    <col min="42" max="42" width="6.75" customWidth="1"/>
  </cols>
  <sheetData>
    <row r="1" spans="1:42">
      <c r="A1" s="496" t="s">
        <v>199</v>
      </c>
      <c r="E1" s="496" t="s">
        <v>200</v>
      </c>
      <c r="R1" s="496" t="s">
        <v>201</v>
      </c>
      <c r="AO1" s="496" t="s">
        <v>202</v>
      </c>
    </row>
    <row r="2" spans="1:42">
      <c r="A2" s="4" t="s">
        <v>203</v>
      </c>
      <c r="B2" s="4" t="s">
        <v>204</v>
      </c>
      <c r="C2" s="4" t="s">
        <v>68</v>
      </c>
      <c r="D2" s="4" t="s">
        <v>129</v>
      </c>
      <c r="E2" s="5" t="s">
        <v>205</v>
      </c>
      <c r="F2" s="5" t="s">
        <v>206</v>
      </c>
      <c r="G2" s="5" t="s">
        <v>207</v>
      </c>
      <c r="H2" s="5" t="s">
        <v>208</v>
      </c>
      <c r="I2" s="5" t="s">
        <v>209</v>
      </c>
      <c r="J2" s="5" t="s">
        <v>210</v>
      </c>
      <c r="K2" s="5" t="s">
        <v>211</v>
      </c>
      <c r="L2" s="5" t="s">
        <v>212</v>
      </c>
      <c r="M2" s="5" t="s">
        <v>213</v>
      </c>
      <c r="N2" s="5" t="s">
        <v>214</v>
      </c>
      <c r="O2" s="5" t="s">
        <v>215</v>
      </c>
      <c r="P2" s="5" t="s">
        <v>216</v>
      </c>
      <c r="Q2" s="5" t="s">
        <v>217</v>
      </c>
      <c r="R2" s="6" t="s">
        <v>205</v>
      </c>
      <c r="S2" s="6" t="s">
        <v>206</v>
      </c>
      <c r="T2" s="6" t="s">
        <v>207</v>
      </c>
      <c r="U2" s="6" t="s">
        <v>208</v>
      </c>
      <c r="V2" s="6" t="s">
        <v>209</v>
      </c>
      <c r="W2" s="6" t="s">
        <v>210</v>
      </c>
      <c r="X2" s="6" t="s">
        <v>211</v>
      </c>
      <c r="Y2" s="6" t="s">
        <v>212</v>
      </c>
      <c r="Z2" s="6" t="s">
        <v>213</v>
      </c>
      <c r="AA2" s="6" t="s">
        <v>214</v>
      </c>
      <c r="AB2" s="6" t="s">
        <v>215</v>
      </c>
      <c r="AC2" s="6" t="s">
        <v>216</v>
      </c>
      <c r="AD2" s="6" t="s">
        <v>217</v>
      </c>
      <c r="AE2" s="4" t="s">
        <v>218</v>
      </c>
      <c r="AF2" s="4" t="s">
        <v>219</v>
      </c>
      <c r="AG2" s="4" t="s">
        <v>220</v>
      </c>
      <c r="AH2" s="4" t="s">
        <v>221</v>
      </c>
      <c r="AI2" s="4" t="s">
        <v>222</v>
      </c>
      <c r="AJ2" s="4" t="s">
        <v>223</v>
      </c>
      <c r="AK2" s="4" t="s">
        <v>224</v>
      </c>
      <c r="AL2" s="4" t="s">
        <v>225</v>
      </c>
      <c r="AM2" s="4" t="s">
        <v>226</v>
      </c>
      <c r="AN2" s="4" t="s">
        <v>227</v>
      </c>
      <c r="AO2" s="5" t="s">
        <v>123</v>
      </c>
      <c r="AP2" s="5" t="s">
        <v>123</v>
      </c>
    </row>
    <row r="3" spans="1:42">
      <c r="A3" s="496" t="s">
        <v>228</v>
      </c>
      <c r="B3" s="496" t="s">
        <v>229</v>
      </c>
      <c r="C3" s="496" t="s">
        <v>229</v>
      </c>
      <c r="D3" s="496" t="s">
        <v>230</v>
      </c>
      <c r="E3" s="496">
        <v>0.5</v>
      </c>
      <c r="F3" s="496">
        <v>0.5</v>
      </c>
      <c r="G3" s="496">
        <v>1</v>
      </c>
      <c r="H3" s="496">
        <v>1</v>
      </c>
      <c r="I3" s="496">
        <v>1</v>
      </c>
      <c r="J3" s="496">
        <v>1</v>
      </c>
      <c r="K3" s="496">
        <v>1</v>
      </c>
      <c r="L3" s="496">
        <v>1</v>
      </c>
      <c r="M3" s="496">
        <v>2</v>
      </c>
      <c r="N3" s="496">
        <v>1</v>
      </c>
      <c r="O3" s="496">
        <v>1</v>
      </c>
      <c r="P3" s="496">
        <v>1</v>
      </c>
      <c r="Q3" s="496">
        <v>0.5</v>
      </c>
      <c r="R3" s="496">
        <v>0.3</v>
      </c>
      <c r="S3" s="496">
        <v>0.3</v>
      </c>
      <c r="T3" s="496">
        <v>0.3</v>
      </c>
      <c r="U3" s="496">
        <v>0.3</v>
      </c>
      <c r="V3" s="496">
        <v>0.5</v>
      </c>
      <c r="W3" s="496">
        <v>0.5</v>
      </c>
      <c r="X3" s="496">
        <v>0.5</v>
      </c>
      <c r="Y3" s="496">
        <v>0.6</v>
      </c>
      <c r="Z3" s="496">
        <v>0.8</v>
      </c>
      <c r="AA3" s="496">
        <v>0.5</v>
      </c>
      <c r="AB3" s="496">
        <v>0.5</v>
      </c>
      <c r="AC3" s="496">
        <v>0.3</v>
      </c>
      <c r="AD3" s="496">
        <v>0.3</v>
      </c>
      <c r="AE3" s="496" t="s">
        <v>205</v>
      </c>
      <c r="AF3" s="496" t="s">
        <v>68</v>
      </c>
      <c r="AG3" s="3" t="s">
        <v>231</v>
      </c>
      <c r="AH3" s="496" t="s">
        <v>140</v>
      </c>
      <c r="AI3" s="3" t="s">
        <v>232</v>
      </c>
      <c r="AJ3" s="496" t="s">
        <v>233</v>
      </c>
      <c r="AK3" s="3" t="s">
        <v>234</v>
      </c>
      <c r="AL3" s="496" t="s">
        <v>235</v>
      </c>
      <c r="AM3" s="3" t="s">
        <v>226</v>
      </c>
      <c r="AN3" s="496" t="s">
        <v>236</v>
      </c>
      <c r="AO3" s="3" t="s">
        <v>237</v>
      </c>
      <c r="AP3" s="496">
        <v>11</v>
      </c>
    </row>
    <row r="4" spans="1:42">
      <c r="B4" s="496" t="s">
        <v>238</v>
      </c>
      <c r="C4" s="496" t="s">
        <v>238</v>
      </c>
      <c r="D4" s="496" t="s">
        <v>228</v>
      </c>
      <c r="E4" s="496">
        <v>0.6</v>
      </c>
      <c r="F4" s="496">
        <v>0.6</v>
      </c>
      <c r="G4" s="496">
        <v>1.5</v>
      </c>
      <c r="H4" s="496">
        <v>1.5</v>
      </c>
      <c r="I4" s="496">
        <v>1.5</v>
      </c>
      <c r="J4" s="496">
        <v>1.5</v>
      </c>
      <c r="K4" s="496">
        <v>1.5</v>
      </c>
      <c r="L4" s="496">
        <v>1.5</v>
      </c>
      <c r="M4" s="496">
        <v>3</v>
      </c>
      <c r="N4" s="496">
        <v>1.5</v>
      </c>
      <c r="O4" s="496">
        <v>1.5</v>
      </c>
      <c r="P4" s="496">
        <v>1.5</v>
      </c>
      <c r="Q4" s="496">
        <v>0.8</v>
      </c>
      <c r="R4" s="496">
        <v>0.4</v>
      </c>
      <c r="S4" s="496">
        <v>0.4</v>
      </c>
      <c r="T4" s="496">
        <v>0.4</v>
      </c>
      <c r="U4" s="496">
        <v>0.4</v>
      </c>
      <c r="V4" s="496">
        <v>0.6</v>
      </c>
      <c r="W4" s="496">
        <v>0.6</v>
      </c>
      <c r="X4" s="496">
        <v>0.6</v>
      </c>
      <c r="Y4" s="496">
        <v>0.8</v>
      </c>
      <c r="AA4" s="496">
        <v>0.6</v>
      </c>
      <c r="AB4" s="496">
        <v>0.6</v>
      </c>
      <c r="AC4" s="496">
        <v>0.4</v>
      </c>
      <c r="AD4" s="496">
        <v>0.4</v>
      </c>
      <c r="AE4" s="496" t="s">
        <v>206</v>
      </c>
      <c r="AF4" s="496" t="s">
        <v>239</v>
      </c>
      <c r="AG4" s="3" t="s">
        <v>240</v>
      </c>
      <c r="AH4" s="496" t="s">
        <v>241</v>
      </c>
      <c r="AI4" s="3" t="s">
        <v>242</v>
      </c>
      <c r="AJ4" s="496" t="s">
        <v>243</v>
      </c>
      <c r="AK4" s="3" t="s">
        <v>244</v>
      </c>
      <c r="AL4" s="496" t="s">
        <v>245</v>
      </c>
      <c r="AM4" s="3" t="s">
        <v>246</v>
      </c>
      <c r="AN4" s="496" t="s">
        <v>247</v>
      </c>
      <c r="AO4" s="3" t="s">
        <v>248</v>
      </c>
      <c r="AP4" s="496">
        <v>12</v>
      </c>
    </row>
    <row r="5" spans="1:42">
      <c r="B5" s="496" t="s">
        <v>249</v>
      </c>
      <c r="C5" s="496" t="s">
        <v>249</v>
      </c>
      <c r="D5" s="496" t="s">
        <v>229</v>
      </c>
      <c r="E5" s="496">
        <v>0.8</v>
      </c>
      <c r="F5" s="496">
        <v>0.8</v>
      </c>
      <c r="G5" s="496">
        <v>2</v>
      </c>
      <c r="H5" s="496">
        <v>2</v>
      </c>
      <c r="I5" s="496">
        <v>2</v>
      </c>
      <c r="J5" s="496">
        <v>2</v>
      </c>
      <c r="K5" s="496">
        <v>2</v>
      </c>
      <c r="L5" s="496">
        <v>2</v>
      </c>
      <c r="M5" s="496">
        <v>4</v>
      </c>
      <c r="N5" s="496">
        <v>2</v>
      </c>
      <c r="O5" s="496">
        <v>2</v>
      </c>
      <c r="P5" s="496">
        <v>2</v>
      </c>
      <c r="Q5" s="496">
        <v>1</v>
      </c>
      <c r="R5" s="496">
        <v>0.5</v>
      </c>
      <c r="S5" s="496">
        <v>0.5</v>
      </c>
      <c r="T5" s="496">
        <v>0.5</v>
      </c>
      <c r="U5" s="496">
        <v>0.5</v>
      </c>
      <c r="V5" s="496">
        <v>0.8</v>
      </c>
      <c r="W5" s="496">
        <v>0.8</v>
      </c>
      <c r="X5" s="496">
        <v>0.8</v>
      </c>
      <c r="AA5" s="496">
        <v>0.8</v>
      </c>
      <c r="AC5" s="496">
        <v>0.5</v>
      </c>
      <c r="AD5" s="496">
        <v>0.5</v>
      </c>
      <c r="AE5" s="496" t="s">
        <v>207</v>
      </c>
      <c r="AF5" s="496" t="s">
        <v>250</v>
      </c>
      <c r="AG5" s="3" t="s">
        <v>251</v>
      </c>
      <c r="AH5" s="496" t="s">
        <v>252</v>
      </c>
      <c r="AI5" s="3" t="s">
        <v>253</v>
      </c>
      <c r="AJ5" s="496" t="s">
        <v>254</v>
      </c>
      <c r="AK5" s="3" t="s">
        <v>255</v>
      </c>
      <c r="AL5" s="496" t="s">
        <v>256</v>
      </c>
      <c r="AM5" s="3" t="s">
        <v>257</v>
      </c>
      <c r="AN5" s="496" t="s">
        <v>258</v>
      </c>
      <c r="AO5" s="3" t="s">
        <v>259</v>
      </c>
      <c r="AP5" s="496">
        <v>13</v>
      </c>
    </row>
    <row r="6" spans="1:42">
      <c r="B6" s="496" t="s">
        <v>260</v>
      </c>
      <c r="C6" s="496" t="s">
        <v>260</v>
      </c>
      <c r="D6" s="496" t="s">
        <v>238</v>
      </c>
      <c r="E6" s="496">
        <v>1</v>
      </c>
      <c r="F6" s="496">
        <v>1</v>
      </c>
      <c r="G6" s="496">
        <v>3</v>
      </c>
      <c r="H6" s="496">
        <v>3</v>
      </c>
      <c r="I6" s="496">
        <v>3</v>
      </c>
      <c r="J6" s="496">
        <v>3</v>
      </c>
      <c r="K6" s="496">
        <v>3</v>
      </c>
      <c r="L6" s="496">
        <v>3</v>
      </c>
      <c r="M6" s="496">
        <v>5</v>
      </c>
      <c r="N6" s="496">
        <v>3</v>
      </c>
      <c r="O6" s="496">
        <v>3</v>
      </c>
      <c r="P6" s="496">
        <v>3</v>
      </c>
      <c r="Q6" s="496">
        <v>2</v>
      </c>
      <c r="R6" s="496">
        <v>0.6</v>
      </c>
      <c r="S6" s="496">
        <v>0.6</v>
      </c>
      <c r="T6" s="496">
        <v>0.6</v>
      </c>
      <c r="U6" s="496">
        <v>0.6</v>
      </c>
      <c r="AC6" s="496">
        <v>0.6</v>
      </c>
      <c r="AD6" s="496">
        <v>0.6</v>
      </c>
      <c r="AE6" s="496" t="s">
        <v>208</v>
      </c>
      <c r="AF6" s="496" t="s">
        <v>73</v>
      </c>
      <c r="AG6" s="3" t="s">
        <v>261</v>
      </c>
      <c r="AH6" s="496" t="s">
        <v>262</v>
      </c>
      <c r="AI6" s="3" t="s">
        <v>263</v>
      </c>
      <c r="AJ6" s="496" t="s">
        <v>264</v>
      </c>
      <c r="AK6" s="3" t="s">
        <v>265</v>
      </c>
      <c r="AL6" s="496" t="s">
        <v>266</v>
      </c>
      <c r="AM6" s="3" t="s">
        <v>267</v>
      </c>
      <c r="AO6" s="3" t="s">
        <v>268</v>
      </c>
      <c r="AP6" s="496">
        <v>14</v>
      </c>
    </row>
    <row r="7" spans="1:42">
      <c r="B7" s="496" t="s">
        <v>269</v>
      </c>
      <c r="C7" s="496" t="s">
        <v>269</v>
      </c>
      <c r="D7" s="496" t="s">
        <v>249</v>
      </c>
      <c r="E7" s="496">
        <v>1.5</v>
      </c>
      <c r="F7" s="496">
        <v>1.5</v>
      </c>
      <c r="G7" s="496">
        <v>4</v>
      </c>
      <c r="H7" s="496">
        <v>4</v>
      </c>
      <c r="I7" s="496">
        <v>4</v>
      </c>
      <c r="J7" s="496">
        <v>4</v>
      </c>
      <c r="K7" s="496">
        <v>4</v>
      </c>
      <c r="L7" s="496">
        <v>4</v>
      </c>
      <c r="M7" s="496">
        <v>6</v>
      </c>
      <c r="N7" s="496">
        <v>4</v>
      </c>
      <c r="O7" s="496">
        <v>4</v>
      </c>
      <c r="P7" s="496">
        <v>4</v>
      </c>
      <c r="Q7" s="496">
        <v>3</v>
      </c>
      <c r="AD7" s="496">
        <v>0.7</v>
      </c>
      <c r="AE7" s="496" t="s">
        <v>209</v>
      </c>
      <c r="AF7" s="496" t="s">
        <v>270</v>
      </c>
      <c r="AG7" s="3" t="s">
        <v>271</v>
      </c>
      <c r="AH7" s="496" t="s">
        <v>272</v>
      </c>
      <c r="AI7" s="3" t="s">
        <v>273</v>
      </c>
      <c r="AJ7" s="496" t="s">
        <v>274</v>
      </c>
      <c r="AK7" s="3" t="s">
        <v>275</v>
      </c>
      <c r="AL7" s="496" t="s">
        <v>276</v>
      </c>
      <c r="AM7" s="3" t="s">
        <v>277</v>
      </c>
      <c r="AO7" s="3" t="s">
        <v>278</v>
      </c>
      <c r="AP7" s="496">
        <v>15</v>
      </c>
    </row>
    <row r="8" spans="1:42">
      <c r="B8" s="496" t="s">
        <v>279</v>
      </c>
      <c r="C8" s="496" t="s">
        <v>279</v>
      </c>
      <c r="D8" s="496" t="s">
        <v>260</v>
      </c>
      <c r="E8" s="496">
        <v>2</v>
      </c>
      <c r="F8" s="496">
        <v>2</v>
      </c>
      <c r="G8" s="496">
        <v>5</v>
      </c>
      <c r="H8" s="496">
        <v>5</v>
      </c>
      <c r="I8" s="496">
        <v>5</v>
      </c>
      <c r="J8" s="496">
        <v>5</v>
      </c>
      <c r="K8" s="496">
        <v>5</v>
      </c>
      <c r="L8" s="496">
        <v>5</v>
      </c>
      <c r="M8" s="496">
        <v>7</v>
      </c>
      <c r="N8" s="496">
        <v>5</v>
      </c>
      <c r="Q8" s="496">
        <v>4</v>
      </c>
      <c r="AE8" s="496" t="s">
        <v>210</v>
      </c>
      <c r="AF8" s="496" t="s">
        <v>280</v>
      </c>
      <c r="AG8" s="3" t="s">
        <v>281</v>
      </c>
      <c r="AH8" s="496" t="s">
        <v>282</v>
      </c>
      <c r="AI8" s="3" t="s">
        <v>283</v>
      </c>
      <c r="AJ8" s="496" t="s">
        <v>284</v>
      </c>
      <c r="AK8" s="3" t="s">
        <v>285</v>
      </c>
      <c r="AL8" s="496" t="s">
        <v>2</v>
      </c>
      <c r="AM8" s="3" t="s">
        <v>2</v>
      </c>
      <c r="AP8" s="496">
        <v>16</v>
      </c>
    </row>
    <row r="9" spans="1:42">
      <c r="B9" s="496" t="s">
        <v>286</v>
      </c>
      <c r="C9" s="496" t="s">
        <v>286</v>
      </c>
      <c r="D9" s="496" t="s">
        <v>269</v>
      </c>
      <c r="M9" s="496">
        <v>8</v>
      </c>
      <c r="AE9" s="496" t="s">
        <v>211</v>
      </c>
      <c r="AG9" s="3" t="s">
        <v>287</v>
      </c>
      <c r="AH9" s="496" t="s">
        <v>288</v>
      </c>
      <c r="AI9" s="3" t="s">
        <v>289</v>
      </c>
      <c r="AJ9" s="496" t="s">
        <v>290</v>
      </c>
      <c r="AP9" s="496">
        <v>17</v>
      </c>
    </row>
    <row r="10" spans="1:42">
      <c r="B10" s="496" t="s">
        <v>291</v>
      </c>
      <c r="C10" s="496" t="s">
        <v>291</v>
      </c>
      <c r="D10" s="496" t="s">
        <v>279</v>
      </c>
      <c r="M10" s="496">
        <v>9</v>
      </c>
      <c r="AE10" s="496" t="s">
        <v>212</v>
      </c>
      <c r="AG10" s="3" t="s">
        <v>292</v>
      </c>
      <c r="AH10" s="496" t="s">
        <v>293</v>
      </c>
      <c r="AP10" s="496">
        <v>18</v>
      </c>
    </row>
    <row r="11" spans="1:42">
      <c r="B11" s="496" t="s">
        <v>294</v>
      </c>
      <c r="C11" s="496" t="s">
        <v>294</v>
      </c>
      <c r="D11" s="496" t="s">
        <v>286</v>
      </c>
      <c r="M11" s="496">
        <v>10</v>
      </c>
      <c r="AE11" s="496" t="s">
        <v>213</v>
      </c>
      <c r="AG11" s="3" t="s">
        <v>295</v>
      </c>
      <c r="AH11" s="496" t="s">
        <v>296</v>
      </c>
      <c r="AP11" s="496">
        <v>19</v>
      </c>
    </row>
    <row r="12" spans="1:42">
      <c r="B12" s="496" t="s">
        <v>297</v>
      </c>
      <c r="C12" s="496" t="s">
        <v>297</v>
      </c>
      <c r="D12" s="496" t="s">
        <v>291</v>
      </c>
      <c r="M12" s="496">
        <v>11</v>
      </c>
      <c r="AE12" s="496" t="s">
        <v>214</v>
      </c>
      <c r="AG12" s="3" t="s">
        <v>298</v>
      </c>
      <c r="AH12" s="496" t="s">
        <v>299</v>
      </c>
      <c r="AP12" s="496">
        <v>20</v>
      </c>
    </row>
    <row r="13" spans="1:42">
      <c r="B13" s="496" t="s">
        <v>300</v>
      </c>
      <c r="C13" s="496" t="s">
        <v>300</v>
      </c>
      <c r="D13" s="496" t="s">
        <v>294</v>
      </c>
      <c r="M13" s="496">
        <v>12</v>
      </c>
      <c r="AE13" s="496" t="s">
        <v>215</v>
      </c>
      <c r="AG13" s="3" t="s">
        <v>301</v>
      </c>
      <c r="AH13" s="496" t="s">
        <v>302</v>
      </c>
      <c r="AP13" s="496">
        <v>21</v>
      </c>
    </row>
    <row r="14" spans="1:42">
      <c r="B14" s="496" t="s">
        <v>303</v>
      </c>
      <c r="C14" s="496" t="s">
        <v>303</v>
      </c>
      <c r="D14" s="496" t="s">
        <v>297</v>
      </c>
      <c r="M14" s="496">
        <v>13</v>
      </c>
      <c r="AE14" s="496" t="s">
        <v>216</v>
      </c>
      <c r="AG14" s="3" t="s">
        <v>304</v>
      </c>
      <c r="AH14" s="496" t="s">
        <v>305</v>
      </c>
      <c r="AP14" s="496">
        <v>22</v>
      </c>
    </row>
    <row r="15" spans="1:42">
      <c r="B15" s="496" t="s">
        <v>306</v>
      </c>
      <c r="C15" s="496" t="s">
        <v>306</v>
      </c>
      <c r="D15" s="496" t="s">
        <v>300</v>
      </c>
      <c r="AE15" s="496" t="s">
        <v>217</v>
      </c>
      <c r="AG15" s="3" t="s">
        <v>307</v>
      </c>
      <c r="AH15" s="496" t="s">
        <v>308</v>
      </c>
      <c r="AP15" s="496">
        <v>23</v>
      </c>
    </row>
    <row r="16" spans="1:42">
      <c r="B16" s="496" t="s">
        <v>309</v>
      </c>
      <c r="C16" s="496" t="s">
        <v>309</v>
      </c>
      <c r="D16" s="496" t="s">
        <v>303</v>
      </c>
      <c r="AG16" s="3" t="s">
        <v>310</v>
      </c>
      <c r="AH16" s="496" t="s">
        <v>311</v>
      </c>
      <c r="AP16" s="496">
        <v>24</v>
      </c>
    </row>
    <row r="17" spans="2:42">
      <c r="B17" s="496" t="s">
        <v>312</v>
      </c>
      <c r="C17" s="496" t="s">
        <v>312</v>
      </c>
      <c r="D17" s="496" t="s">
        <v>306</v>
      </c>
      <c r="AG17" s="3" t="s">
        <v>313</v>
      </c>
      <c r="AH17" s="496" t="s">
        <v>314</v>
      </c>
      <c r="AP17" s="496">
        <v>25</v>
      </c>
    </row>
    <row r="18" spans="2:42">
      <c r="B18" s="496" t="s">
        <v>315</v>
      </c>
      <c r="C18" s="496" t="s">
        <v>315</v>
      </c>
      <c r="D18" s="496" t="s">
        <v>309</v>
      </c>
      <c r="AG18" s="3" t="s">
        <v>316</v>
      </c>
      <c r="AH18" s="496" t="s">
        <v>317</v>
      </c>
      <c r="AP18" s="496">
        <v>26</v>
      </c>
    </row>
    <row r="19" spans="2:42">
      <c r="B19" s="496" t="s">
        <v>318</v>
      </c>
      <c r="C19" s="496" t="s">
        <v>318</v>
      </c>
      <c r="D19" s="496" t="s">
        <v>312</v>
      </c>
      <c r="AG19" s="3" t="s">
        <v>319</v>
      </c>
      <c r="AH19" s="496" t="s">
        <v>320</v>
      </c>
      <c r="AP19" s="496">
        <v>27</v>
      </c>
    </row>
    <row r="20" spans="2:42">
      <c r="B20" s="496" t="s">
        <v>321</v>
      </c>
      <c r="C20" s="496" t="s">
        <v>321</v>
      </c>
      <c r="D20" s="496" t="s">
        <v>315</v>
      </c>
      <c r="AG20" s="3" t="s">
        <v>322</v>
      </c>
      <c r="AH20" s="496" t="s">
        <v>323</v>
      </c>
      <c r="AP20" s="496">
        <v>28</v>
      </c>
    </row>
    <row r="21" spans="2:42">
      <c r="B21" s="496" t="s">
        <v>324</v>
      </c>
      <c r="C21" s="496" t="s">
        <v>324</v>
      </c>
      <c r="D21" s="496" t="s">
        <v>318</v>
      </c>
      <c r="AG21" s="3" t="s">
        <v>325</v>
      </c>
      <c r="AH21" s="496" t="s">
        <v>326</v>
      </c>
      <c r="AP21" s="496">
        <v>29</v>
      </c>
    </row>
    <row r="22" spans="2:42">
      <c r="B22" s="496" t="s">
        <v>327</v>
      </c>
      <c r="C22" s="496" t="s">
        <v>327</v>
      </c>
      <c r="D22" s="496" t="s">
        <v>321</v>
      </c>
      <c r="AG22" s="3" t="s">
        <v>328</v>
      </c>
      <c r="AH22" s="496" t="s">
        <v>329</v>
      </c>
      <c r="AP22" s="496">
        <v>30</v>
      </c>
    </row>
    <row r="23" spans="2:42">
      <c r="B23" s="496" t="s">
        <v>330</v>
      </c>
      <c r="C23" s="496" t="s">
        <v>330</v>
      </c>
      <c r="D23" s="496" t="s">
        <v>324</v>
      </c>
      <c r="AG23" s="3" t="s">
        <v>331</v>
      </c>
      <c r="AH23" s="496" t="s">
        <v>332</v>
      </c>
      <c r="AP23" s="496">
        <v>31</v>
      </c>
    </row>
    <row r="24" spans="2:42">
      <c r="B24" s="496" t="s">
        <v>333</v>
      </c>
      <c r="C24" s="496" t="s">
        <v>333</v>
      </c>
      <c r="D24" s="496" t="s">
        <v>327</v>
      </c>
      <c r="AG24" s="3" t="s">
        <v>334</v>
      </c>
      <c r="AH24" s="496" t="s">
        <v>335</v>
      </c>
      <c r="AP24" s="496">
        <v>32</v>
      </c>
    </row>
    <row r="25" spans="2:42">
      <c r="B25" s="496" t="s">
        <v>336</v>
      </c>
      <c r="C25" s="496" t="s">
        <v>336</v>
      </c>
      <c r="D25" s="496" t="s">
        <v>330</v>
      </c>
      <c r="AG25" s="3" t="s">
        <v>337</v>
      </c>
      <c r="AH25" s="496" t="s">
        <v>338</v>
      </c>
      <c r="AP25" s="496">
        <v>33</v>
      </c>
    </row>
    <row r="26" spans="2:42">
      <c r="B26" s="496" t="s">
        <v>339</v>
      </c>
      <c r="C26" s="496" t="s">
        <v>339</v>
      </c>
      <c r="D26" s="496" t="s">
        <v>333</v>
      </c>
      <c r="AG26" s="3" t="s">
        <v>340</v>
      </c>
      <c r="AH26" s="496" t="s">
        <v>341</v>
      </c>
      <c r="AP26" s="496">
        <v>34</v>
      </c>
    </row>
    <row r="27" spans="2:42">
      <c r="B27" s="496" t="s">
        <v>342</v>
      </c>
      <c r="C27" s="496" t="s">
        <v>342</v>
      </c>
      <c r="D27" s="496" t="s">
        <v>336</v>
      </c>
      <c r="AG27" s="3" t="s">
        <v>343</v>
      </c>
      <c r="AH27" s="496" t="s">
        <v>344</v>
      </c>
      <c r="AP27" s="496">
        <v>35</v>
      </c>
    </row>
    <row r="28" spans="2:42">
      <c r="B28" s="496" t="s">
        <v>345</v>
      </c>
      <c r="C28" s="496" t="s">
        <v>345</v>
      </c>
      <c r="D28" s="496" t="s">
        <v>339</v>
      </c>
      <c r="AG28" s="3" t="s">
        <v>346</v>
      </c>
      <c r="AH28" s="496" t="s">
        <v>347</v>
      </c>
      <c r="AP28" s="496">
        <v>36</v>
      </c>
    </row>
    <row r="29" spans="2:42">
      <c r="B29" s="496" t="s">
        <v>348</v>
      </c>
      <c r="C29" s="496" t="s">
        <v>348</v>
      </c>
      <c r="D29" s="496" t="s">
        <v>342</v>
      </c>
      <c r="AG29" s="3" t="s">
        <v>349</v>
      </c>
      <c r="AH29" s="496" t="s">
        <v>350</v>
      </c>
      <c r="AP29" s="496">
        <v>37</v>
      </c>
    </row>
    <row r="30" spans="2:42">
      <c r="B30" s="496" t="s">
        <v>351</v>
      </c>
      <c r="C30" s="496" t="s">
        <v>351</v>
      </c>
      <c r="D30" s="496" t="s">
        <v>345</v>
      </c>
      <c r="AG30" s="3" t="s">
        <v>352</v>
      </c>
      <c r="AH30" s="496" t="s">
        <v>353</v>
      </c>
      <c r="AP30" s="496">
        <v>38</v>
      </c>
    </row>
    <row r="31" spans="2:42">
      <c r="B31" s="496" t="s">
        <v>354</v>
      </c>
      <c r="C31" s="496" t="s">
        <v>354</v>
      </c>
      <c r="D31" s="496" t="s">
        <v>348</v>
      </c>
      <c r="AG31" s="3" t="s">
        <v>355</v>
      </c>
      <c r="AH31" s="496" t="s">
        <v>356</v>
      </c>
      <c r="AP31" s="496">
        <v>39</v>
      </c>
    </row>
    <row r="32" spans="2:42">
      <c r="B32" s="496" t="s">
        <v>357</v>
      </c>
      <c r="C32" s="496" t="s">
        <v>357</v>
      </c>
      <c r="D32" s="496" t="s">
        <v>351</v>
      </c>
      <c r="AG32" s="3" t="s">
        <v>358</v>
      </c>
      <c r="AH32" s="496" t="s">
        <v>359</v>
      </c>
      <c r="AP32" s="496">
        <v>40</v>
      </c>
    </row>
    <row r="33" spans="2:42">
      <c r="B33" s="496" t="s">
        <v>360</v>
      </c>
      <c r="C33" s="496" t="s">
        <v>360</v>
      </c>
      <c r="D33" s="496" t="s">
        <v>354</v>
      </c>
      <c r="AG33" s="3" t="s">
        <v>361</v>
      </c>
      <c r="AH33" s="496" t="s">
        <v>362</v>
      </c>
      <c r="AP33" s="496">
        <v>41</v>
      </c>
    </row>
    <row r="34" spans="2:42">
      <c r="B34" s="496" t="s">
        <v>363</v>
      </c>
      <c r="C34" s="496" t="s">
        <v>363</v>
      </c>
      <c r="D34" s="496" t="s">
        <v>357</v>
      </c>
      <c r="AG34" s="3" t="s">
        <v>364</v>
      </c>
      <c r="AH34" s="496" t="s">
        <v>365</v>
      </c>
      <c r="AP34" s="496">
        <v>42</v>
      </c>
    </row>
    <row r="35" spans="2:42">
      <c r="B35" s="496" t="s">
        <v>366</v>
      </c>
      <c r="C35" s="496" t="s">
        <v>366</v>
      </c>
      <c r="D35" s="496" t="s">
        <v>360</v>
      </c>
      <c r="AG35" s="3" t="s">
        <v>367</v>
      </c>
      <c r="AH35" s="496" t="s">
        <v>368</v>
      </c>
      <c r="AP35" s="496">
        <v>43</v>
      </c>
    </row>
    <row r="36" spans="2:42">
      <c r="B36" s="496" t="s">
        <v>369</v>
      </c>
      <c r="C36" s="496" t="s">
        <v>369</v>
      </c>
      <c r="D36" s="496" t="s">
        <v>363</v>
      </c>
      <c r="AG36" s="3" t="s">
        <v>370</v>
      </c>
      <c r="AH36" s="496" t="s">
        <v>371</v>
      </c>
      <c r="AP36" s="496">
        <v>44</v>
      </c>
    </row>
    <row r="37" spans="2:42">
      <c r="B37" s="496" t="s">
        <v>372</v>
      </c>
      <c r="C37" s="496" t="s">
        <v>372</v>
      </c>
      <c r="D37" s="496" t="s">
        <v>366</v>
      </c>
      <c r="AG37" s="3" t="s">
        <v>373</v>
      </c>
      <c r="AH37" s="496" t="s">
        <v>374</v>
      </c>
      <c r="AP37" s="496">
        <v>45</v>
      </c>
    </row>
    <row r="38" spans="2:42">
      <c r="B38" s="496" t="s">
        <v>375</v>
      </c>
      <c r="C38" s="496" t="s">
        <v>375</v>
      </c>
      <c r="D38" s="496" t="s">
        <v>369</v>
      </c>
      <c r="AG38" s="3" t="s">
        <v>376</v>
      </c>
      <c r="AH38" s="496" t="s">
        <v>377</v>
      </c>
      <c r="AP38" s="496">
        <v>46</v>
      </c>
    </row>
    <row r="39" spans="2:42">
      <c r="B39" s="496" t="s">
        <v>378</v>
      </c>
      <c r="C39" s="496" t="s">
        <v>378</v>
      </c>
      <c r="D39" s="496" t="s">
        <v>372</v>
      </c>
      <c r="AG39" s="3" t="s">
        <v>379</v>
      </c>
      <c r="AH39" s="496" t="s">
        <v>380</v>
      </c>
      <c r="AP39" s="496">
        <v>99</v>
      </c>
    </row>
    <row r="40" spans="2:42">
      <c r="B40" s="496" t="s">
        <v>381</v>
      </c>
      <c r="C40" s="496" t="s">
        <v>381</v>
      </c>
      <c r="D40" s="496" t="s">
        <v>375</v>
      </c>
      <c r="AG40" s="3" t="s">
        <v>382</v>
      </c>
      <c r="AH40" s="496" t="s">
        <v>383</v>
      </c>
    </row>
    <row r="41" spans="2:42">
      <c r="B41" s="496" t="s">
        <v>384</v>
      </c>
      <c r="C41" s="496" t="s">
        <v>384</v>
      </c>
      <c r="D41" s="496" t="s">
        <v>378</v>
      </c>
      <c r="AG41" s="3" t="s">
        <v>385</v>
      </c>
      <c r="AH41" s="496" t="s">
        <v>386</v>
      </c>
    </row>
    <row r="42" spans="2:42">
      <c r="B42" s="496" t="s">
        <v>387</v>
      </c>
      <c r="C42" s="496" t="s">
        <v>387</v>
      </c>
      <c r="D42" s="496" t="s">
        <v>381</v>
      </c>
      <c r="AG42" s="3" t="s">
        <v>388</v>
      </c>
      <c r="AH42" s="496" t="s">
        <v>389</v>
      </c>
    </row>
    <row r="43" spans="2:42">
      <c r="B43" s="496" t="s">
        <v>390</v>
      </c>
      <c r="C43" s="496" t="s">
        <v>390</v>
      </c>
      <c r="D43" s="496" t="s">
        <v>384</v>
      </c>
      <c r="AG43" s="3" t="s">
        <v>391</v>
      </c>
      <c r="AH43" s="496" t="s">
        <v>392</v>
      </c>
    </row>
    <row r="44" spans="2:42">
      <c r="B44" s="496" t="s">
        <v>393</v>
      </c>
      <c r="C44" s="496" t="s">
        <v>393</v>
      </c>
      <c r="D44" s="496" t="s">
        <v>387</v>
      </c>
      <c r="AG44" s="3" t="s">
        <v>394</v>
      </c>
      <c r="AH44" s="496" t="s">
        <v>395</v>
      </c>
    </row>
    <row r="45" spans="2:42">
      <c r="B45" s="496" t="s">
        <v>396</v>
      </c>
      <c r="C45" s="496" t="s">
        <v>396</v>
      </c>
      <c r="D45" s="496" t="s">
        <v>390</v>
      </c>
      <c r="AG45" s="3" t="s">
        <v>397</v>
      </c>
      <c r="AH45" s="496" t="s">
        <v>398</v>
      </c>
    </row>
    <row r="46" spans="2:42">
      <c r="B46" s="496" t="s">
        <v>399</v>
      </c>
      <c r="C46" s="496" t="s">
        <v>399</v>
      </c>
      <c r="D46" s="496" t="s">
        <v>393</v>
      </c>
      <c r="AG46" s="3" t="s">
        <v>400</v>
      </c>
      <c r="AH46" s="496" t="s">
        <v>401</v>
      </c>
    </row>
    <row r="47" spans="2:42">
      <c r="B47" s="496" t="s">
        <v>402</v>
      </c>
      <c r="C47" s="496" t="s">
        <v>402</v>
      </c>
      <c r="D47" s="496" t="s">
        <v>396</v>
      </c>
      <c r="AG47" s="3" t="s">
        <v>403</v>
      </c>
      <c r="AH47" s="496" t="s">
        <v>404</v>
      </c>
    </row>
    <row r="48" spans="2:42">
      <c r="B48" s="496" t="s">
        <v>405</v>
      </c>
      <c r="C48" s="496" t="s">
        <v>405</v>
      </c>
      <c r="D48" s="496" t="s">
        <v>399</v>
      </c>
      <c r="AG48" s="3" t="s">
        <v>406</v>
      </c>
      <c r="AH48" s="496" t="s">
        <v>407</v>
      </c>
    </row>
    <row r="49" spans="2:34">
      <c r="B49" s="496" t="s">
        <v>408</v>
      </c>
      <c r="C49" s="496" t="s">
        <v>408</v>
      </c>
      <c r="D49" s="496" t="s">
        <v>402</v>
      </c>
      <c r="AG49" s="3" t="s">
        <v>409</v>
      </c>
      <c r="AH49" s="496" t="s">
        <v>410</v>
      </c>
    </row>
    <row r="50" spans="2:34">
      <c r="D50" s="496" t="s">
        <v>405</v>
      </c>
      <c r="AG50" s="3" t="s">
        <v>411</v>
      </c>
      <c r="AH50" s="496" t="s">
        <v>412</v>
      </c>
    </row>
    <row r="51" spans="2:34">
      <c r="D51" s="496" t="s">
        <v>408</v>
      </c>
      <c r="AG51" s="3" t="s">
        <v>413</v>
      </c>
      <c r="AH51" s="496" t="s">
        <v>414</v>
      </c>
    </row>
    <row r="52" spans="2:34">
      <c r="AG52" s="3" t="s">
        <v>415</v>
      </c>
      <c r="AH52" s="496" t="s">
        <v>416</v>
      </c>
    </row>
    <row r="53" spans="2:34">
      <c r="AG53" s="3" t="s">
        <v>417</v>
      </c>
      <c r="AH53" s="496" t="s">
        <v>418</v>
      </c>
    </row>
    <row r="54" spans="2:34">
      <c r="AG54" s="3" t="s">
        <v>419</v>
      </c>
      <c r="AH54" s="496" t="s">
        <v>420</v>
      </c>
    </row>
    <row r="55" spans="2:34">
      <c r="AG55" s="3" t="s">
        <v>421</v>
      </c>
      <c r="AH55" s="496" t="s">
        <v>422</v>
      </c>
    </row>
    <row r="56" spans="2:34">
      <c r="AG56" s="3" t="s">
        <v>423</v>
      </c>
      <c r="AH56" s="496" t="s">
        <v>424</v>
      </c>
    </row>
    <row r="57" spans="2:34">
      <c r="AG57" s="3" t="s">
        <v>425</v>
      </c>
      <c r="AH57" s="496" t="s">
        <v>426</v>
      </c>
    </row>
    <row r="58" spans="2:34">
      <c r="AG58" s="3" t="s">
        <v>427</v>
      </c>
      <c r="AH58" s="496" t="s">
        <v>428</v>
      </c>
    </row>
    <row r="59" spans="2:34">
      <c r="AG59" s="3" t="s">
        <v>429</v>
      </c>
      <c r="AH59" s="496" t="s">
        <v>430</v>
      </c>
    </row>
    <row r="60" spans="2:34">
      <c r="AG60" s="3" t="s">
        <v>431</v>
      </c>
      <c r="AH60" s="496" t="s">
        <v>432</v>
      </c>
    </row>
    <row r="61" spans="2:34">
      <c r="AG61" s="3" t="s">
        <v>433</v>
      </c>
      <c r="AH61" s="496" t="s">
        <v>434</v>
      </c>
    </row>
    <row r="62" spans="2:34">
      <c r="AG62" s="3" t="s">
        <v>435</v>
      </c>
      <c r="AH62" s="496" t="s">
        <v>436</v>
      </c>
    </row>
    <row r="63" spans="2:34">
      <c r="AG63" s="3" t="s">
        <v>437</v>
      </c>
      <c r="AH63" s="496" t="s">
        <v>438</v>
      </c>
    </row>
    <row r="64" spans="2:34">
      <c r="AG64" s="3" t="s">
        <v>439</v>
      </c>
      <c r="AH64" s="496" t="s">
        <v>440</v>
      </c>
    </row>
    <row r="65" spans="33:34">
      <c r="AG65" s="3" t="s">
        <v>441</v>
      </c>
      <c r="AH65" s="496" t="s">
        <v>442</v>
      </c>
    </row>
    <row r="66" spans="33:34">
      <c r="AG66" s="3" t="s">
        <v>443</v>
      </c>
      <c r="AH66" s="496" t="s">
        <v>444</v>
      </c>
    </row>
    <row r="67" spans="33:34">
      <c r="AG67" s="3" t="s">
        <v>445</v>
      </c>
      <c r="AH67" s="496" t="s">
        <v>446</v>
      </c>
    </row>
    <row r="68" spans="33:34">
      <c r="AG68" s="3" t="s">
        <v>447</v>
      </c>
      <c r="AH68" s="496" t="s">
        <v>448</v>
      </c>
    </row>
  </sheetData>
  <phoneticPr fontId="5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C65"/>
  <sheetViews>
    <sheetView workbookViewId="0"/>
  </sheetViews>
  <sheetFormatPr defaultColWidth="9" defaultRowHeight="13.5"/>
  <cols>
    <col min="1" max="1" width="52.625" style="18" customWidth="1"/>
    <col min="2" max="2" width="9" style="18" customWidth="1"/>
    <col min="3" max="16384" width="9" style="18"/>
  </cols>
  <sheetData>
    <row r="1" spans="1:3">
      <c r="A1" s="26" t="s">
        <v>140</v>
      </c>
      <c r="B1" s="26" t="s">
        <v>231</v>
      </c>
      <c r="C1" s="21" t="s">
        <v>521</v>
      </c>
    </row>
    <row r="2" spans="1:3">
      <c r="A2" s="26" t="s">
        <v>420</v>
      </c>
      <c r="B2" s="26" t="s">
        <v>419</v>
      </c>
    </row>
    <row r="3" spans="1:3">
      <c r="A3" s="26" t="s">
        <v>241</v>
      </c>
      <c r="B3" s="26" t="s">
        <v>240</v>
      </c>
    </row>
    <row r="4" spans="1:3">
      <c r="A4" s="26" t="s">
        <v>252</v>
      </c>
      <c r="B4" s="26" t="s">
        <v>251</v>
      </c>
    </row>
    <row r="5" spans="1:3">
      <c r="A5" s="26" t="s">
        <v>262</v>
      </c>
      <c r="B5" s="26" t="s">
        <v>261</v>
      </c>
    </row>
    <row r="6" spans="1:3">
      <c r="A6" s="26" t="s">
        <v>272</v>
      </c>
      <c r="B6" s="26" t="s">
        <v>271</v>
      </c>
    </row>
    <row r="7" spans="1:3">
      <c r="A7" s="26" t="s">
        <v>282</v>
      </c>
      <c r="B7" s="26" t="s">
        <v>281</v>
      </c>
    </row>
    <row r="8" spans="1:3">
      <c r="A8" s="26" t="s">
        <v>288</v>
      </c>
      <c r="B8" s="26" t="s">
        <v>287</v>
      </c>
    </row>
    <row r="9" spans="1:3">
      <c r="A9" s="26" t="s">
        <v>293</v>
      </c>
      <c r="B9" s="26" t="s">
        <v>292</v>
      </c>
    </row>
    <row r="10" spans="1:3">
      <c r="A10" s="26" t="s">
        <v>590</v>
      </c>
      <c r="B10" s="26" t="s">
        <v>295</v>
      </c>
    </row>
    <row r="11" spans="1:3">
      <c r="A11" s="26" t="s">
        <v>299</v>
      </c>
      <c r="B11" s="26" t="s">
        <v>298</v>
      </c>
    </row>
    <row r="12" spans="1:3">
      <c r="A12" s="26" t="s">
        <v>302</v>
      </c>
      <c r="B12" s="26" t="s">
        <v>301</v>
      </c>
    </row>
    <row r="13" spans="1:3">
      <c r="A13" s="26" t="s">
        <v>305</v>
      </c>
      <c r="B13" s="26" t="s">
        <v>304</v>
      </c>
    </row>
    <row r="14" spans="1:3">
      <c r="A14" s="26" t="s">
        <v>308</v>
      </c>
      <c r="B14" s="26" t="s">
        <v>307</v>
      </c>
    </row>
    <row r="15" spans="1:3">
      <c r="A15" s="26" t="s">
        <v>589</v>
      </c>
      <c r="B15" s="26" t="s">
        <v>310</v>
      </c>
    </row>
    <row r="16" spans="1:3">
      <c r="A16" s="26" t="s">
        <v>588</v>
      </c>
      <c r="B16" s="26" t="s">
        <v>313</v>
      </c>
    </row>
    <row r="17" spans="1:2">
      <c r="A17" s="26" t="s">
        <v>317</v>
      </c>
      <c r="B17" s="26" t="s">
        <v>316</v>
      </c>
    </row>
    <row r="18" spans="1:2">
      <c r="A18" s="26" t="s">
        <v>587</v>
      </c>
      <c r="B18" s="26" t="s">
        <v>319</v>
      </c>
    </row>
    <row r="19" spans="1:2">
      <c r="A19" s="26" t="s">
        <v>323</v>
      </c>
      <c r="B19" s="26" t="s">
        <v>322</v>
      </c>
    </row>
    <row r="20" spans="1:2">
      <c r="A20" s="26" t="s">
        <v>326</v>
      </c>
      <c r="B20" s="26" t="s">
        <v>325</v>
      </c>
    </row>
    <row r="21" spans="1:2">
      <c r="A21" s="26" t="s">
        <v>586</v>
      </c>
      <c r="B21" s="26" t="s">
        <v>328</v>
      </c>
    </row>
    <row r="22" spans="1:2">
      <c r="A22" s="26" t="s">
        <v>335</v>
      </c>
      <c r="B22" s="26" t="s">
        <v>334</v>
      </c>
    </row>
    <row r="23" spans="1:2">
      <c r="A23" s="26" t="s">
        <v>338</v>
      </c>
      <c r="B23" s="26" t="s">
        <v>337</v>
      </c>
    </row>
    <row r="24" spans="1:2">
      <c r="A24" s="26" t="s">
        <v>341</v>
      </c>
      <c r="B24" s="26" t="s">
        <v>340</v>
      </c>
    </row>
    <row r="25" spans="1:2">
      <c r="A25" s="26" t="s">
        <v>344</v>
      </c>
      <c r="B25" s="26" t="s">
        <v>343</v>
      </c>
    </row>
    <row r="26" spans="1:2">
      <c r="A26" s="26" t="s">
        <v>347</v>
      </c>
      <c r="B26" s="26" t="s">
        <v>346</v>
      </c>
    </row>
    <row r="27" spans="1:2">
      <c r="A27" s="26" t="s">
        <v>350</v>
      </c>
      <c r="B27" s="26" t="s">
        <v>349</v>
      </c>
    </row>
    <row r="28" spans="1:2">
      <c r="A28" s="26" t="s">
        <v>585</v>
      </c>
      <c r="B28" s="26" t="s">
        <v>352</v>
      </c>
    </row>
    <row r="29" spans="1:2">
      <c r="A29" s="26" t="s">
        <v>356</v>
      </c>
      <c r="B29" s="26" t="s">
        <v>355</v>
      </c>
    </row>
    <row r="30" spans="1:2">
      <c r="A30" s="26" t="s">
        <v>584</v>
      </c>
      <c r="B30" s="26" t="s">
        <v>358</v>
      </c>
    </row>
    <row r="31" spans="1:2">
      <c r="A31" s="26" t="s">
        <v>583</v>
      </c>
      <c r="B31" s="26" t="s">
        <v>361</v>
      </c>
    </row>
    <row r="32" spans="1:2">
      <c r="A32" s="26" t="s">
        <v>365</v>
      </c>
      <c r="B32" s="26" t="s">
        <v>364</v>
      </c>
    </row>
    <row r="33" spans="1:2">
      <c r="A33" s="26" t="s">
        <v>368</v>
      </c>
      <c r="B33" s="26" t="s">
        <v>367</v>
      </c>
    </row>
    <row r="34" spans="1:2">
      <c r="A34" s="26" t="s">
        <v>371</v>
      </c>
      <c r="B34" s="26" t="s">
        <v>370</v>
      </c>
    </row>
    <row r="35" spans="1:2">
      <c r="A35" s="26" t="s">
        <v>374</v>
      </c>
      <c r="B35" s="26" t="s">
        <v>373</v>
      </c>
    </row>
    <row r="36" spans="1:2">
      <c r="A36" s="26" t="s">
        <v>377</v>
      </c>
      <c r="B36" s="26" t="s">
        <v>376</v>
      </c>
    </row>
    <row r="37" spans="1:2">
      <c r="A37" s="26" t="s">
        <v>582</v>
      </c>
      <c r="B37" s="26" t="s">
        <v>379</v>
      </c>
    </row>
    <row r="38" spans="1:2">
      <c r="A38" s="26" t="s">
        <v>581</v>
      </c>
      <c r="B38" s="26" t="s">
        <v>382</v>
      </c>
    </row>
    <row r="39" spans="1:2">
      <c r="A39" s="26" t="s">
        <v>386</v>
      </c>
      <c r="B39" s="26" t="s">
        <v>385</v>
      </c>
    </row>
    <row r="40" spans="1:2">
      <c r="A40" s="26" t="s">
        <v>389</v>
      </c>
      <c r="B40" s="26" t="s">
        <v>388</v>
      </c>
    </row>
    <row r="41" spans="1:2">
      <c r="A41" s="26" t="s">
        <v>392</v>
      </c>
      <c r="B41" s="26" t="s">
        <v>391</v>
      </c>
    </row>
    <row r="42" spans="1:2">
      <c r="A42" s="26" t="s">
        <v>395</v>
      </c>
      <c r="B42" s="26" t="s">
        <v>394</v>
      </c>
    </row>
    <row r="43" spans="1:2">
      <c r="A43" s="26" t="s">
        <v>398</v>
      </c>
      <c r="B43" s="26" t="s">
        <v>397</v>
      </c>
    </row>
    <row r="44" spans="1:2">
      <c r="A44" s="26" t="s">
        <v>580</v>
      </c>
      <c r="B44" s="26" t="s">
        <v>400</v>
      </c>
    </row>
    <row r="45" spans="1:2">
      <c r="A45" s="26" t="s">
        <v>579</v>
      </c>
      <c r="B45" s="26" t="s">
        <v>403</v>
      </c>
    </row>
    <row r="46" spans="1:2">
      <c r="A46" s="26" t="s">
        <v>407</v>
      </c>
      <c r="B46" s="26" t="s">
        <v>406</v>
      </c>
    </row>
    <row r="47" spans="1:2">
      <c r="A47" s="26" t="s">
        <v>578</v>
      </c>
      <c r="B47" s="26" t="s">
        <v>409</v>
      </c>
    </row>
    <row r="48" spans="1:2">
      <c r="A48" s="26" t="s">
        <v>577</v>
      </c>
      <c r="B48" s="26" t="s">
        <v>411</v>
      </c>
    </row>
    <row r="49" spans="1:2">
      <c r="A49" s="26" t="s">
        <v>576</v>
      </c>
      <c r="B49" s="26" t="s">
        <v>413</v>
      </c>
    </row>
    <row r="50" spans="1:2">
      <c r="A50" s="26" t="s">
        <v>416</v>
      </c>
      <c r="B50" s="26" t="s">
        <v>415</v>
      </c>
    </row>
    <row r="51" spans="1:2">
      <c r="A51" s="26" t="s">
        <v>418</v>
      </c>
      <c r="B51" s="26" t="s">
        <v>417</v>
      </c>
    </row>
    <row r="52" spans="1:2">
      <c r="A52" s="26" t="s">
        <v>575</v>
      </c>
      <c r="B52" s="26" t="s">
        <v>421</v>
      </c>
    </row>
    <row r="53" spans="1:2">
      <c r="A53" s="26" t="s">
        <v>424</v>
      </c>
      <c r="B53" s="26" t="s">
        <v>423</v>
      </c>
    </row>
    <row r="54" spans="1:2">
      <c r="A54" s="26" t="s">
        <v>426</v>
      </c>
      <c r="B54" s="26" t="s">
        <v>425</v>
      </c>
    </row>
    <row r="55" spans="1:2">
      <c r="A55" s="26" t="s">
        <v>428</v>
      </c>
      <c r="B55" s="26" t="s">
        <v>427</v>
      </c>
    </row>
    <row r="56" spans="1:2">
      <c r="A56" s="26" t="s">
        <v>430</v>
      </c>
      <c r="B56" s="26" t="s">
        <v>429</v>
      </c>
    </row>
    <row r="57" spans="1:2">
      <c r="A57" s="26" t="s">
        <v>432</v>
      </c>
      <c r="B57" s="26" t="s">
        <v>431</v>
      </c>
    </row>
    <row r="58" spans="1:2">
      <c r="A58" s="26" t="s">
        <v>434</v>
      </c>
      <c r="B58" s="26" t="s">
        <v>433</v>
      </c>
    </row>
    <row r="59" spans="1:2">
      <c r="A59" s="26" t="s">
        <v>436</v>
      </c>
      <c r="B59" s="26" t="s">
        <v>435</v>
      </c>
    </row>
    <row r="60" spans="1:2">
      <c r="A60" s="26" t="s">
        <v>438</v>
      </c>
      <c r="B60" s="26" t="s">
        <v>437</v>
      </c>
    </row>
    <row r="61" spans="1:2">
      <c r="A61" s="26" t="s">
        <v>440</v>
      </c>
      <c r="B61" s="26" t="s">
        <v>439</v>
      </c>
    </row>
    <row r="62" spans="1:2">
      <c r="A62" s="26" t="s">
        <v>574</v>
      </c>
      <c r="B62" s="26" t="s">
        <v>441</v>
      </c>
    </row>
    <row r="63" spans="1:2">
      <c r="A63" s="26" t="s">
        <v>444</v>
      </c>
      <c r="B63" s="26" t="s">
        <v>443</v>
      </c>
    </row>
    <row r="64" spans="1:2">
      <c r="A64" s="26" t="s">
        <v>446</v>
      </c>
      <c r="B64" s="26" t="s">
        <v>445</v>
      </c>
    </row>
    <row r="65" spans="1:2">
      <c r="A65" s="26" t="s">
        <v>2</v>
      </c>
      <c r="B65" s="26" t="s">
        <v>447</v>
      </c>
    </row>
  </sheetData>
  <phoneticPr fontId="57"/>
  <hyperlinks>
    <hyperlink ref="C1" location="トップ!A1" display="トップ"/>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U37"/>
  <sheetViews>
    <sheetView workbookViewId="0"/>
  </sheetViews>
  <sheetFormatPr defaultColWidth="9" defaultRowHeight="13.5"/>
  <cols>
    <col min="1" max="2" width="9" style="18" customWidth="1"/>
    <col min="3" max="3" width="32.75" style="18" bestFit="1" customWidth="1"/>
    <col min="4" max="4" width="13" style="18" bestFit="1" customWidth="1"/>
    <col min="5" max="9" width="3.375" style="18" bestFit="1" customWidth="1"/>
    <col min="10" max="10" width="4.375" style="18" bestFit="1" customWidth="1"/>
    <col min="11" max="11" width="24.125" style="18" bestFit="1" customWidth="1"/>
    <col min="12" max="12" width="20.375" style="18" bestFit="1" customWidth="1"/>
    <col min="13" max="13" width="36.125" style="18" bestFit="1" customWidth="1"/>
    <col min="14" max="14" width="55.25" style="18" bestFit="1" customWidth="1"/>
    <col min="15" max="15" width="6.75" style="18" bestFit="1" customWidth="1"/>
    <col min="16" max="20" width="3.375" style="18" bestFit="1" customWidth="1"/>
    <col min="21" max="21" width="3.625" style="18" customWidth="1"/>
    <col min="22" max="22" width="9" style="18" customWidth="1"/>
    <col min="23" max="16384" width="9" style="18"/>
  </cols>
  <sheetData>
    <row r="1" spans="1:21">
      <c r="A1" s="19" t="s">
        <v>521</v>
      </c>
      <c r="I1" s="25" t="s">
        <v>505</v>
      </c>
      <c r="K1" s="18" t="s">
        <v>573</v>
      </c>
      <c r="L1" s="18" t="s">
        <v>572</v>
      </c>
      <c r="Q1" s="23" t="s">
        <v>237</v>
      </c>
      <c r="R1" s="18">
        <v>11</v>
      </c>
      <c r="S1" s="18" t="s">
        <v>522</v>
      </c>
      <c r="T1" s="18" t="s">
        <v>525</v>
      </c>
    </row>
    <row r="2" spans="1:21">
      <c r="B2" s="18" t="s">
        <v>571</v>
      </c>
      <c r="C2" s="18" t="s">
        <v>570</v>
      </c>
      <c r="D2" s="18" t="s">
        <v>228</v>
      </c>
      <c r="E2" s="18">
        <v>21</v>
      </c>
      <c r="F2" s="18" t="s">
        <v>569</v>
      </c>
      <c r="G2" s="18">
        <v>1</v>
      </c>
      <c r="H2" s="18">
        <v>1</v>
      </c>
      <c r="I2" s="25" t="s">
        <v>568</v>
      </c>
      <c r="J2" s="18">
        <v>100</v>
      </c>
      <c r="K2" s="18" t="s">
        <v>567</v>
      </c>
      <c r="L2" s="18" t="s">
        <v>566</v>
      </c>
      <c r="M2" s="22" t="s">
        <v>565</v>
      </c>
      <c r="N2" s="18" t="s">
        <v>564</v>
      </c>
      <c r="O2" s="24" t="s">
        <v>515</v>
      </c>
      <c r="P2" s="25" t="s">
        <v>563</v>
      </c>
      <c r="Q2" s="23" t="s">
        <v>248</v>
      </c>
      <c r="R2" s="18">
        <v>12</v>
      </c>
      <c r="S2" s="18" t="s">
        <v>562</v>
      </c>
      <c r="T2" s="18" t="s">
        <v>524</v>
      </c>
      <c r="U2" s="18" t="s">
        <v>466</v>
      </c>
    </row>
    <row r="3" spans="1:21">
      <c r="A3" s="18" t="s">
        <v>561</v>
      </c>
      <c r="B3" s="18" t="s">
        <v>560</v>
      </c>
      <c r="C3" s="18" t="s">
        <v>559</v>
      </c>
      <c r="D3" s="18" t="s">
        <v>260</v>
      </c>
      <c r="E3" s="18">
        <v>22</v>
      </c>
      <c r="F3" s="18" t="s">
        <v>558</v>
      </c>
      <c r="G3" s="18">
        <v>2</v>
      </c>
      <c r="H3" s="18">
        <v>2</v>
      </c>
      <c r="J3" s="18">
        <v>125</v>
      </c>
      <c r="K3" s="18" t="s">
        <v>557</v>
      </c>
      <c r="L3" s="18" t="s">
        <v>556</v>
      </c>
      <c r="M3" s="22" t="s">
        <v>520</v>
      </c>
      <c r="N3" s="18" t="s">
        <v>555</v>
      </c>
      <c r="O3" s="24" t="s">
        <v>554</v>
      </c>
      <c r="Q3" s="23" t="s">
        <v>259</v>
      </c>
      <c r="R3" s="18">
        <v>13</v>
      </c>
      <c r="T3" s="18" t="s">
        <v>523</v>
      </c>
    </row>
    <row r="4" spans="1:21">
      <c r="A4" s="18" t="s">
        <v>553</v>
      </c>
      <c r="C4" s="18" t="s">
        <v>552</v>
      </c>
      <c r="D4" s="18" t="s">
        <v>238</v>
      </c>
      <c r="E4" s="18">
        <v>23</v>
      </c>
      <c r="G4" s="18">
        <v>3</v>
      </c>
      <c r="H4" s="18">
        <v>3</v>
      </c>
      <c r="J4" s="18">
        <v>165</v>
      </c>
      <c r="K4" s="18" t="s">
        <v>551</v>
      </c>
      <c r="L4" s="18" t="s">
        <v>550</v>
      </c>
      <c r="M4" s="22" t="s">
        <v>519</v>
      </c>
      <c r="N4" s="18" t="s">
        <v>549</v>
      </c>
      <c r="Q4" s="23" t="s">
        <v>268</v>
      </c>
      <c r="R4" s="18">
        <v>14</v>
      </c>
    </row>
    <row r="5" spans="1:21">
      <c r="A5" s="18" t="s">
        <v>68</v>
      </c>
      <c r="C5" s="18" t="s">
        <v>548</v>
      </c>
      <c r="E5" s="18">
        <v>24</v>
      </c>
      <c r="G5" s="18">
        <v>4</v>
      </c>
      <c r="H5" s="18">
        <v>4</v>
      </c>
      <c r="L5" s="18" t="s">
        <v>547</v>
      </c>
      <c r="M5" s="22" t="s">
        <v>518</v>
      </c>
      <c r="N5" s="18" t="s">
        <v>546</v>
      </c>
      <c r="Q5" s="23" t="s">
        <v>278</v>
      </c>
      <c r="R5" s="18">
        <v>15</v>
      </c>
    </row>
    <row r="6" spans="1:21">
      <c r="C6" s="18" t="s">
        <v>545</v>
      </c>
      <c r="E6" s="18">
        <v>25</v>
      </c>
      <c r="G6" s="18">
        <v>5</v>
      </c>
      <c r="H6" s="18">
        <v>5</v>
      </c>
      <c r="L6" s="18" t="s">
        <v>544</v>
      </c>
      <c r="M6" s="22" t="s">
        <v>543</v>
      </c>
      <c r="N6" s="18" t="s">
        <v>542</v>
      </c>
      <c r="Q6" s="23"/>
      <c r="R6" s="18">
        <v>16</v>
      </c>
    </row>
    <row r="7" spans="1:21">
      <c r="E7" s="18">
        <v>26</v>
      </c>
      <c r="G7" s="18">
        <v>6</v>
      </c>
      <c r="H7" s="18">
        <v>6</v>
      </c>
      <c r="L7" s="18" t="s">
        <v>541</v>
      </c>
      <c r="M7" s="22" t="s">
        <v>517</v>
      </c>
      <c r="N7" s="18" t="s">
        <v>540</v>
      </c>
      <c r="R7" s="18">
        <v>17</v>
      </c>
    </row>
    <row r="8" spans="1:21">
      <c r="E8" s="18">
        <v>27</v>
      </c>
      <c r="G8" s="18">
        <v>7</v>
      </c>
      <c r="H8" s="18">
        <v>7</v>
      </c>
      <c r="L8" s="18" t="s">
        <v>539</v>
      </c>
      <c r="M8" s="22" t="s">
        <v>516</v>
      </c>
      <c r="N8" s="18" t="s">
        <v>538</v>
      </c>
      <c r="R8" s="18">
        <v>18</v>
      </c>
    </row>
    <row r="9" spans="1:21">
      <c r="E9" s="18">
        <v>28</v>
      </c>
      <c r="G9" s="18">
        <v>8</v>
      </c>
      <c r="H9" s="18">
        <v>8</v>
      </c>
      <c r="L9" s="18" t="s">
        <v>537</v>
      </c>
      <c r="M9" s="22" t="s">
        <v>536</v>
      </c>
      <c r="N9" s="18" t="s">
        <v>535</v>
      </c>
      <c r="R9" s="18">
        <v>19</v>
      </c>
    </row>
    <row r="10" spans="1:21">
      <c r="E10" s="18">
        <v>29</v>
      </c>
      <c r="G10" s="18">
        <v>9</v>
      </c>
      <c r="H10" s="18">
        <v>9</v>
      </c>
      <c r="L10" s="18" t="s">
        <v>534</v>
      </c>
      <c r="M10" s="22" t="s">
        <v>514</v>
      </c>
      <c r="N10" s="18" t="s">
        <v>533</v>
      </c>
      <c r="R10" s="18">
        <v>20</v>
      </c>
    </row>
    <row r="11" spans="1:21">
      <c r="E11" s="18">
        <v>30</v>
      </c>
      <c r="G11" s="18">
        <v>10</v>
      </c>
      <c r="H11" s="18">
        <v>10</v>
      </c>
      <c r="L11" s="18" t="s">
        <v>532</v>
      </c>
      <c r="M11" s="22" t="s">
        <v>531</v>
      </c>
      <c r="N11" s="18" t="s">
        <v>530</v>
      </c>
      <c r="R11" s="18">
        <v>21</v>
      </c>
    </row>
    <row r="12" spans="1:21">
      <c r="E12" s="18">
        <v>31</v>
      </c>
      <c r="G12" s="18">
        <v>11</v>
      </c>
      <c r="H12" s="18">
        <v>11</v>
      </c>
      <c r="L12" s="18" t="s">
        <v>529</v>
      </c>
      <c r="M12" s="22" t="s">
        <v>528</v>
      </c>
      <c r="N12" s="18" t="s">
        <v>527</v>
      </c>
      <c r="R12" s="18">
        <v>22</v>
      </c>
    </row>
    <row r="13" spans="1:21">
      <c r="E13" s="18">
        <v>1</v>
      </c>
      <c r="G13" s="18">
        <v>12</v>
      </c>
      <c r="H13" s="18">
        <v>12</v>
      </c>
      <c r="L13" s="18" t="s">
        <v>217</v>
      </c>
      <c r="M13" s="22" t="s">
        <v>513</v>
      </c>
      <c r="R13" s="18">
        <v>23</v>
      </c>
    </row>
    <row r="14" spans="1:21">
      <c r="E14" s="18">
        <v>2</v>
      </c>
      <c r="G14" s="18">
        <v>13</v>
      </c>
      <c r="M14" s="22" t="s">
        <v>526</v>
      </c>
      <c r="R14" s="18">
        <v>24</v>
      </c>
    </row>
    <row r="15" spans="1:21">
      <c r="E15" s="18">
        <v>3</v>
      </c>
      <c r="G15" s="18">
        <v>14</v>
      </c>
      <c r="M15" s="22" t="s">
        <v>512</v>
      </c>
      <c r="R15" s="18">
        <v>25</v>
      </c>
    </row>
    <row r="16" spans="1:21">
      <c r="E16" s="18">
        <v>4</v>
      </c>
      <c r="G16" s="18">
        <v>15</v>
      </c>
      <c r="M16" s="22" t="s">
        <v>511</v>
      </c>
      <c r="R16" s="18">
        <v>26</v>
      </c>
    </row>
    <row r="17" spans="5:18">
      <c r="E17" s="18">
        <v>5</v>
      </c>
      <c r="G17" s="18">
        <v>16</v>
      </c>
      <c r="M17" s="22" t="s">
        <v>510</v>
      </c>
      <c r="R17" s="18">
        <v>27</v>
      </c>
    </row>
    <row r="18" spans="5:18">
      <c r="E18" s="18">
        <v>6</v>
      </c>
      <c r="G18" s="18">
        <v>17</v>
      </c>
      <c r="M18" s="22" t="s">
        <v>509</v>
      </c>
      <c r="R18" s="18">
        <v>28</v>
      </c>
    </row>
    <row r="19" spans="5:18">
      <c r="E19" s="18">
        <v>7</v>
      </c>
      <c r="G19" s="18">
        <v>18</v>
      </c>
      <c r="M19" s="22" t="s">
        <v>508</v>
      </c>
      <c r="R19" s="18">
        <v>29</v>
      </c>
    </row>
    <row r="20" spans="5:18">
      <c r="E20" s="18">
        <v>8</v>
      </c>
      <c r="G20" s="18">
        <v>19</v>
      </c>
      <c r="M20" s="22" t="s">
        <v>507</v>
      </c>
      <c r="R20" s="18">
        <v>30</v>
      </c>
    </row>
    <row r="21" spans="5:18">
      <c r="E21" s="18">
        <v>9</v>
      </c>
      <c r="G21" s="18">
        <v>20</v>
      </c>
      <c r="R21" s="18">
        <v>31</v>
      </c>
    </row>
    <row r="22" spans="5:18">
      <c r="E22" s="18">
        <v>10</v>
      </c>
      <c r="G22" s="18">
        <v>21</v>
      </c>
      <c r="R22" s="18">
        <v>32</v>
      </c>
    </row>
    <row r="23" spans="5:18">
      <c r="G23" s="18">
        <v>22</v>
      </c>
      <c r="R23" s="18">
        <v>33</v>
      </c>
    </row>
    <row r="24" spans="5:18">
      <c r="G24" s="18">
        <v>23</v>
      </c>
      <c r="R24" s="18">
        <v>34</v>
      </c>
    </row>
    <row r="25" spans="5:18">
      <c r="G25" s="18">
        <v>24</v>
      </c>
      <c r="R25" s="18">
        <v>35</v>
      </c>
    </row>
    <row r="26" spans="5:18">
      <c r="G26" s="18">
        <v>25</v>
      </c>
      <c r="R26" s="18">
        <v>36</v>
      </c>
    </row>
    <row r="27" spans="5:18">
      <c r="G27" s="18">
        <v>26</v>
      </c>
      <c r="R27" s="18">
        <v>37</v>
      </c>
    </row>
    <row r="28" spans="5:18">
      <c r="G28" s="18">
        <v>27</v>
      </c>
      <c r="R28" s="18">
        <v>38</v>
      </c>
    </row>
    <row r="29" spans="5:18">
      <c r="G29" s="18">
        <v>28</v>
      </c>
      <c r="R29" s="18">
        <v>39</v>
      </c>
    </row>
    <row r="30" spans="5:18">
      <c r="G30" s="18">
        <v>29</v>
      </c>
      <c r="R30" s="18">
        <v>40</v>
      </c>
    </row>
    <row r="31" spans="5:18">
      <c r="G31" s="18">
        <v>30</v>
      </c>
      <c r="R31" s="18">
        <v>41</v>
      </c>
    </row>
    <row r="32" spans="5:18">
      <c r="G32" s="18">
        <v>31</v>
      </c>
      <c r="R32" s="18">
        <v>42</v>
      </c>
    </row>
    <row r="33" spans="18:18">
      <c r="R33" s="18">
        <v>43</v>
      </c>
    </row>
    <row r="34" spans="18:18">
      <c r="R34" s="18">
        <v>44</v>
      </c>
    </row>
    <row r="35" spans="18:18">
      <c r="R35" s="18">
        <v>45</v>
      </c>
    </row>
    <row r="36" spans="18:18">
      <c r="R36" s="18">
        <v>46</v>
      </c>
    </row>
    <row r="37" spans="18:18">
      <c r="R37" s="18">
        <v>99</v>
      </c>
    </row>
  </sheetData>
  <phoneticPr fontId="57"/>
  <hyperlinks>
    <hyperlink ref="A1" location="トップ!A1" display="トップ"/>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E50"/>
  <sheetViews>
    <sheetView workbookViewId="0">
      <selection activeCell="E5" sqref="E5"/>
    </sheetView>
  </sheetViews>
  <sheetFormatPr defaultColWidth="9" defaultRowHeight="13.5"/>
  <cols>
    <col min="1" max="1" width="24.5" customWidth="1"/>
    <col min="2" max="2" width="25.75" bestFit="1" customWidth="1"/>
    <col min="3" max="3" width="43.25" bestFit="1" customWidth="1"/>
    <col min="5" max="5" width="22.5" bestFit="1" customWidth="1"/>
    <col min="7" max="7" width="19.625" customWidth="1"/>
  </cols>
  <sheetData>
    <row r="1" spans="1:5">
      <c r="B1" s="496" t="s">
        <v>2929</v>
      </c>
      <c r="C1" s="496" t="s">
        <v>2524</v>
      </c>
      <c r="D1" s="496" t="s">
        <v>2929</v>
      </c>
      <c r="E1" s="496" t="s">
        <v>2524</v>
      </c>
    </row>
    <row r="2" spans="1:5">
      <c r="A2" s="496" t="s">
        <v>46</v>
      </c>
      <c r="B2" s="330">
        <f>居住専用建築物コード</f>
        <v>0</v>
      </c>
      <c r="C2" s="496" t="str">
        <f>IF(B2=0,"",VLOOKUP(B2,A$9:C$13,3))</f>
        <v/>
      </c>
      <c r="D2" s="330">
        <f>居住専用建築物コード2</f>
        <v>0</v>
      </c>
      <c r="E2" s="496" t="str">
        <f>IF(D2=0,"",VLOOKUP(D2,A$9:C$13,3))</f>
        <v/>
      </c>
    </row>
    <row r="3" spans="1:5">
      <c r="A3" s="496" t="s">
        <v>47</v>
      </c>
      <c r="B3" s="330">
        <f>居住産業併用建築物コード</f>
        <v>0</v>
      </c>
      <c r="C3" s="496" t="str">
        <f>IF(B3=0,"",VLOOKUP(B3,A$14:C$50,3))</f>
        <v/>
      </c>
      <c r="D3" s="330">
        <f>居住産業併用建築物コード2</f>
        <v>0</v>
      </c>
      <c r="E3" s="496" t="str">
        <f>IF(D3=0,"",VLOOKUP(D3,A$14:C$50,3))</f>
        <v/>
      </c>
    </row>
    <row r="4" spans="1:5">
      <c r="A4" s="496" t="s">
        <v>48</v>
      </c>
      <c r="B4" s="330">
        <f>産業専用建築物コード</f>
        <v>0</v>
      </c>
      <c r="C4" s="496" t="str">
        <f>IF(B4=0,"",VLOOKUP(B4,A$14:C$50,3))</f>
        <v/>
      </c>
      <c r="D4" s="330">
        <f>産業専用建築物コード2</f>
        <v>0</v>
      </c>
      <c r="E4" s="496" t="str">
        <f>IF(D4=0,"",VLOOKUP(D4,A$14:C$50,3))</f>
        <v/>
      </c>
    </row>
    <row r="8" spans="1:5">
      <c r="A8" s="289" t="s">
        <v>2875</v>
      </c>
      <c r="B8" s="501" t="s">
        <v>2874</v>
      </c>
      <c r="C8" s="501"/>
    </row>
    <row r="9" spans="1:5" ht="13.5" customHeight="1">
      <c r="A9" s="289" t="s">
        <v>237</v>
      </c>
      <c r="B9" s="323"/>
      <c r="C9" s="322" t="s">
        <v>2876</v>
      </c>
    </row>
    <row r="10" spans="1:5" ht="13.5" customHeight="1">
      <c r="A10" s="289" t="s">
        <v>248</v>
      </c>
      <c r="B10" s="323"/>
      <c r="C10" s="322" t="s">
        <v>2877</v>
      </c>
    </row>
    <row r="11" spans="1:5" ht="13.5" customHeight="1">
      <c r="A11" s="289" t="s">
        <v>259</v>
      </c>
      <c r="B11" s="323"/>
      <c r="C11" s="322" t="s">
        <v>2878</v>
      </c>
    </row>
    <row r="12" spans="1:5" ht="13.5" customHeight="1">
      <c r="A12" s="289" t="s">
        <v>268</v>
      </c>
      <c r="B12" s="323"/>
      <c r="C12" s="322" t="s">
        <v>2879</v>
      </c>
    </row>
    <row r="13" spans="1:5" ht="13.5" customHeight="1" thickBot="1">
      <c r="A13" s="327" t="s">
        <v>278</v>
      </c>
      <c r="B13" s="328"/>
      <c r="C13" s="329" t="s">
        <v>2880</v>
      </c>
    </row>
    <row r="14" spans="1:5" ht="14.25" thickTop="1">
      <c r="A14" s="325">
        <v>11</v>
      </c>
      <c r="B14" s="326" t="s">
        <v>2881</v>
      </c>
      <c r="C14" s="326" t="s">
        <v>2882</v>
      </c>
    </row>
    <row r="15" spans="1:5">
      <c r="A15" s="324">
        <v>12</v>
      </c>
      <c r="B15" s="502" t="s">
        <v>2883</v>
      </c>
      <c r="C15" s="321" t="s">
        <v>2884</v>
      </c>
    </row>
    <row r="16" spans="1:5">
      <c r="A16" s="324">
        <v>13</v>
      </c>
      <c r="B16" s="502"/>
      <c r="C16" s="321" t="s">
        <v>2885</v>
      </c>
    </row>
    <row r="17" spans="1:3" ht="60">
      <c r="A17" s="324">
        <v>14</v>
      </c>
      <c r="B17" s="502" t="s">
        <v>2886</v>
      </c>
      <c r="C17" s="321" t="s">
        <v>2887</v>
      </c>
    </row>
    <row r="18" spans="1:3">
      <c r="A18" s="324">
        <v>15</v>
      </c>
      <c r="B18" s="502"/>
      <c r="C18" s="321" t="s">
        <v>2888</v>
      </c>
    </row>
    <row r="19" spans="1:3">
      <c r="A19" s="324">
        <v>16</v>
      </c>
      <c r="B19" s="502"/>
      <c r="C19" s="321" t="s">
        <v>2889</v>
      </c>
    </row>
    <row r="20" spans="1:3" ht="48">
      <c r="A20" s="324">
        <v>17</v>
      </c>
      <c r="B20" s="502"/>
      <c r="C20" s="321" t="s">
        <v>2890</v>
      </c>
    </row>
    <row r="21" spans="1:3" ht="24">
      <c r="A21" s="324">
        <v>18</v>
      </c>
      <c r="B21" s="502"/>
      <c r="C21" s="321" t="s">
        <v>2891</v>
      </c>
    </row>
    <row r="22" spans="1:3">
      <c r="A22" s="324">
        <v>19</v>
      </c>
      <c r="B22" s="502" t="s">
        <v>2892</v>
      </c>
      <c r="C22" s="321" t="s">
        <v>2893</v>
      </c>
    </row>
    <row r="23" spans="1:3">
      <c r="A23" s="324">
        <v>20</v>
      </c>
      <c r="B23" s="502"/>
      <c r="C23" s="321" t="s">
        <v>2894</v>
      </c>
    </row>
    <row r="24" spans="1:3">
      <c r="A24" s="324">
        <v>21</v>
      </c>
      <c r="B24" s="502"/>
      <c r="C24" s="321" t="s">
        <v>2895</v>
      </c>
    </row>
    <row r="25" spans="1:3">
      <c r="A25" s="324">
        <v>22</v>
      </c>
      <c r="B25" s="502"/>
      <c r="C25" s="321" t="s">
        <v>2896</v>
      </c>
    </row>
    <row r="26" spans="1:3">
      <c r="A26" s="324">
        <v>23</v>
      </c>
      <c r="B26" s="502" t="s">
        <v>2897</v>
      </c>
      <c r="C26" s="321" t="s">
        <v>2898</v>
      </c>
    </row>
    <row r="27" spans="1:3" ht="24">
      <c r="A27" s="324">
        <v>24</v>
      </c>
      <c r="B27" s="502"/>
      <c r="C27" s="321" t="s">
        <v>2899</v>
      </c>
    </row>
    <row r="28" spans="1:3" ht="24">
      <c r="A28" s="324">
        <v>25</v>
      </c>
      <c r="B28" s="502"/>
      <c r="C28" s="321" t="s">
        <v>2900</v>
      </c>
    </row>
    <row r="29" spans="1:3" ht="24">
      <c r="A29" s="324">
        <v>26</v>
      </c>
      <c r="B29" s="502"/>
      <c r="C29" s="321" t="s">
        <v>2901</v>
      </c>
    </row>
    <row r="30" spans="1:3" ht="24">
      <c r="A30" s="324">
        <v>27</v>
      </c>
      <c r="B30" s="321" t="s">
        <v>2902</v>
      </c>
      <c r="C30" s="321" t="s">
        <v>2903</v>
      </c>
    </row>
    <row r="31" spans="1:3">
      <c r="A31" s="324">
        <v>28</v>
      </c>
      <c r="B31" s="321" t="s">
        <v>2904</v>
      </c>
      <c r="C31" s="321" t="s">
        <v>2904</v>
      </c>
    </row>
    <row r="32" spans="1:3">
      <c r="A32" s="324">
        <v>29</v>
      </c>
      <c r="B32" s="321" t="s">
        <v>2905</v>
      </c>
      <c r="C32" s="321" t="s">
        <v>2905</v>
      </c>
    </row>
    <row r="33" spans="1:3" ht="24">
      <c r="A33" s="324">
        <v>30</v>
      </c>
      <c r="B33" s="502" t="s">
        <v>2906</v>
      </c>
      <c r="C33" s="321" t="s">
        <v>2907</v>
      </c>
    </row>
    <row r="34" spans="1:3">
      <c r="A34" s="324">
        <v>31</v>
      </c>
      <c r="B34" s="502"/>
      <c r="C34" s="321" t="s">
        <v>2908</v>
      </c>
    </row>
    <row r="35" spans="1:3">
      <c r="A35" s="324">
        <v>32</v>
      </c>
      <c r="B35" s="502" t="s">
        <v>2909</v>
      </c>
      <c r="C35" s="321" t="s">
        <v>2910</v>
      </c>
    </row>
    <row r="36" spans="1:3">
      <c r="A36" s="324">
        <v>33</v>
      </c>
      <c r="B36" s="502"/>
      <c r="C36" s="321" t="s">
        <v>2911</v>
      </c>
    </row>
    <row r="37" spans="1:3">
      <c r="A37" s="324">
        <v>34</v>
      </c>
      <c r="B37" s="502" t="s">
        <v>2912</v>
      </c>
      <c r="C37" s="321" t="s">
        <v>2913</v>
      </c>
    </row>
    <row r="38" spans="1:3">
      <c r="A38" s="324">
        <v>35</v>
      </c>
      <c r="B38" s="502"/>
      <c r="C38" s="321" t="s">
        <v>2914</v>
      </c>
    </row>
    <row r="39" spans="1:3" ht="24">
      <c r="A39" s="324">
        <v>36</v>
      </c>
      <c r="B39" s="502"/>
      <c r="C39" s="321" t="s">
        <v>2915</v>
      </c>
    </row>
    <row r="40" spans="1:3" ht="24">
      <c r="A40" s="324">
        <v>37</v>
      </c>
      <c r="B40" s="502"/>
      <c r="C40" s="321" t="s">
        <v>2916</v>
      </c>
    </row>
    <row r="41" spans="1:3">
      <c r="A41" s="324">
        <v>38</v>
      </c>
      <c r="B41" s="502" t="s">
        <v>2917</v>
      </c>
      <c r="C41" s="321" t="s">
        <v>2918</v>
      </c>
    </row>
    <row r="42" spans="1:3">
      <c r="A42" s="324">
        <v>39</v>
      </c>
      <c r="B42" s="502"/>
      <c r="C42" s="321" t="s">
        <v>2919</v>
      </c>
    </row>
    <row r="43" spans="1:3">
      <c r="A43" s="324">
        <v>40</v>
      </c>
      <c r="B43" s="502" t="s">
        <v>2920</v>
      </c>
      <c r="C43" s="321" t="s">
        <v>2921</v>
      </c>
    </row>
    <row r="44" spans="1:3">
      <c r="A44" s="324">
        <v>41</v>
      </c>
      <c r="B44" s="502"/>
      <c r="C44" s="321" t="s">
        <v>2922</v>
      </c>
    </row>
    <row r="45" spans="1:3">
      <c r="A45" s="324">
        <v>42</v>
      </c>
      <c r="B45" s="502"/>
      <c r="C45" s="321" t="s">
        <v>2923</v>
      </c>
    </row>
    <row r="46" spans="1:3">
      <c r="A46" s="324">
        <v>43</v>
      </c>
      <c r="B46" s="502"/>
      <c r="C46" s="321" t="s">
        <v>2924</v>
      </c>
    </row>
    <row r="47" spans="1:3">
      <c r="A47" s="324">
        <v>44</v>
      </c>
      <c r="B47" s="502"/>
      <c r="C47" s="321" t="s">
        <v>2925</v>
      </c>
    </row>
    <row r="48" spans="1:3" ht="60">
      <c r="A48" s="324">
        <v>45</v>
      </c>
      <c r="B48" s="502"/>
      <c r="C48" s="321" t="s">
        <v>2926</v>
      </c>
    </row>
    <row r="49" spans="1:3">
      <c r="A49" s="324">
        <v>46</v>
      </c>
      <c r="B49" s="321" t="s">
        <v>2927</v>
      </c>
      <c r="C49" s="321" t="s">
        <v>2927</v>
      </c>
    </row>
    <row r="50" spans="1:3">
      <c r="A50" s="324">
        <v>99</v>
      </c>
      <c r="B50" s="321" t="s">
        <v>2928</v>
      </c>
      <c r="C50" s="321" t="s">
        <v>2928</v>
      </c>
    </row>
  </sheetData>
  <mergeCells count="10">
    <mergeCell ref="B8:C8"/>
    <mergeCell ref="B35:B36"/>
    <mergeCell ref="B37:B40"/>
    <mergeCell ref="B41:B42"/>
    <mergeCell ref="B43:B48"/>
    <mergeCell ref="B15:B16"/>
    <mergeCell ref="B17:B21"/>
    <mergeCell ref="B22:B25"/>
    <mergeCell ref="B26:B29"/>
    <mergeCell ref="B33:B34"/>
  </mergeCells>
  <phoneticPr fontId="57"/>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zoomScale="90" zoomScaleNormal="90" workbookViewId="0"/>
  </sheetViews>
  <sheetFormatPr defaultColWidth="3.625" defaultRowHeight="12.75"/>
  <cols>
    <col min="1" max="22" width="3.75" style="278" customWidth="1"/>
    <col min="23" max="46" width="3.625" style="278" customWidth="1"/>
    <col min="47" max="47" width="10.375" style="278" hidden="1" customWidth="1"/>
    <col min="48" max="48" width="38.25" style="278" hidden="1" customWidth="1"/>
    <col min="49" max="51" width="10.375" style="278" hidden="1" customWidth="1"/>
    <col min="52" max="52" width="3.625" style="278" customWidth="1"/>
    <col min="53" max="16384" width="3.625" style="278"/>
  </cols>
  <sheetData>
    <row r="1" spans="1:22" ht="18.75">
      <c r="A1" s="504" t="s">
        <v>2951</v>
      </c>
      <c r="B1" s="504"/>
      <c r="C1" s="504"/>
      <c r="D1" s="504"/>
      <c r="E1" s="504"/>
      <c r="F1" s="504"/>
      <c r="G1" s="504"/>
      <c r="H1" s="504"/>
      <c r="I1" s="504"/>
      <c r="J1" s="504"/>
      <c r="K1" s="504"/>
      <c r="L1" s="504"/>
      <c r="M1" s="504"/>
      <c r="N1" s="504"/>
      <c r="O1" s="504"/>
      <c r="P1" s="504"/>
      <c r="Q1" s="504"/>
      <c r="R1" s="504"/>
      <c r="S1" s="504"/>
      <c r="T1" s="504"/>
      <c r="U1" s="504"/>
      <c r="V1" s="504"/>
    </row>
    <row r="2" spans="1:22" s="334" customFormat="1" ht="19.5" customHeight="1"/>
    <row r="3" spans="1:22" s="334" customFormat="1" ht="19.5" customHeight="1">
      <c r="A3" s="335" t="s">
        <v>2950</v>
      </c>
    </row>
    <row r="4" spans="1:22" s="334" customFormat="1" ht="19.5" customHeight="1">
      <c r="B4" s="335" t="s">
        <v>2936</v>
      </c>
      <c r="E4" s="503" t="str">
        <f>cst_wskakunin_dairi1_NAME</f>
        <v>木村　賢</v>
      </c>
      <c r="F4" s="503"/>
      <c r="G4" s="503"/>
      <c r="H4" s="503"/>
      <c r="I4" s="503"/>
      <c r="J4" s="503"/>
      <c r="K4" s="503"/>
      <c r="L4" s="503"/>
      <c r="M4" s="503"/>
      <c r="N4" s="503"/>
      <c r="O4" s="503"/>
      <c r="P4" s="503"/>
      <c r="Q4" s="503"/>
      <c r="R4" s="503"/>
      <c r="S4" s="503"/>
      <c r="T4" s="503"/>
      <c r="U4" s="503"/>
    </row>
    <row r="5" spans="1:22" s="334" customFormat="1" ht="19.5" customHeight="1">
      <c r="E5" s="503"/>
      <c r="F5" s="503"/>
      <c r="G5" s="503"/>
      <c r="H5" s="503"/>
      <c r="I5" s="503"/>
      <c r="J5" s="503"/>
      <c r="K5" s="503"/>
      <c r="L5" s="503"/>
      <c r="M5" s="503"/>
      <c r="N5" s="503"/>
      <c r="O5" s="503"/>
      <c r="P5" s="503"/>
      <c r="Q5" s="503"/>
      <c r="R5" s="503"/>
      <c r="S5" s="503"/>
      <c r="T5" s="503"/>
      <c r="U5" s="503"/>
    </row>
    <row r="6" spans="1:22" s="334" customFormat="1" ht="19.5" customHeight="1">
      <c r="B6" s="335" t="s">
        <v>2949</v>
      </c>
      <c r="E6" s="503" t="str">
        <f>cst_wskakunin_dairi1_JIMU_NAME</f>
        <v>株式会社山田工務店　一級建築士事務所</v>
      </c>
      <c r="F6" s="503"/>
      <c r="G6" s="503"/>
      <c r="H6" s="503"/>
      <c r="I6" s="503"/>
      <c r="J6" s="503"/>
      <c r="K6" s="503"/>
      <c r="L6" s="503"/>
      <c r="M6" s="503"/>
      <c r="N6" s="503"/>
      <c r="O6" s="503"/>
      <c r="P6" s="503"/>
      <c r="Q6" s="503"/>
      <c r="R6" s="503"/>
      <c r="S6" s="503"/>
      <c r="T6" s="503"/>
      <c r="U6" s="503"/>
    </row>
    <row r="7" spans="1:22" s="334" customFormat="1" ht="19.5" customHeight="1">
      <c r="E7" s="503"/>
      <c r="F7" s="503"/>
      <c r="G7" s="503"/>
      <c r="H7" s="503"/>
      <c r="I7" s="503"/>
      <c r="J7" s="503"/>
      <c r="K7" s="503"/>
      <c r="L7" s="503"/>
      <c r="M7" s="503"/>
      <c r="N7" s="503"/>
      <c r="O7" s="503"/>
      <c r="P7" s="503"/>
      <c r="Q7" s="503"/>
      <c r="R7" s="503"/>
      <c r="S7" s="503"/>
      <c r="T7" s="503"/>
      <c r="U7" s="503"/>
    </row>
    <row r="8" spans="1:22" s="334" customFormat="1" ht="19.5" customHeight="1">
      <c r="B8" s="334" t="s">
        <v>2935</v>
      </c>
      <c r="E8" s="505" t="str">
        <f>cst_wskakunin_dairi1_ZIP</f>
        <v>425-0074</v>
      </c>
      <c r="F8" s="505"/>
      <c r="G8" s="505"/>
      <c r="H8" s="505"/>
    </row>
    <row r="9" spans="1:22" s="334" customFormat="1" ht="2.25" customHeight="1"/>
    <row r="10" spans="1:22" s="334" customFormat="1" ht="19.5" customHeight="1">
      <c r="B10" s="335" t="s">
        <v>2934</v>
      </c>
      <c r="E10" s="503" t="str">
        <f>cst_wskakunin_dairi1__address</f>
        <v>静岡県焼津市柳新屋648-2</v>
      </c>
      <c r="F10" s="503"/>
      <c r="G10" s="503"/>
      <c r="H10" s="503"/>
      <c r="I10" s="503"/>
      <c r="J10" s="503"/>
      <c r="K10" s="503"/>
      <c r="L10" s="503"/>
      <c r="M10" s="503"/>
      <c r="N10" s="503"/>
      <c r="O10" s="503"/>
      <c r="P10" s="503"/>
      <c r="Q10" s="503"/>
      <c r="R10" s="503"/>
      <c r="S10" s="503"/>
      <c r="T10" s="503"/>
      <c r="U10" s="503"/>
    </row>
    <row r="11" spans="1:22" s="334" customFormat="1" ht="19.5" customHeight="1">
      <c r="E11" s="503"/>
      <c r="F11" s="503"/>
      <c r="G11" s="503"/>
      <c r="H11" s="503"/>
      <c r="I11" s="503"/>
      <c r="J11" s="503"/>
      <c r="K11" s="503"/>
      <c r="L11" s="503"/>
      <c r="M11" s="503"/>
      <c r="N11" s="503"/>
      <c r="O11" s="503"/>
      <c r="P11" s="503"/>
      <c r="Q11" s="503"/>
      <c r="R11" s="503"/>
      <c r="S11" s="503"/>
      <c r="T11" s="503"/>
      <c r="U11" s="503"/>
    </row>
    <row r="12" spans="1:22" s="334" customFormat="1" ht="19.5" customHeight="1">
      <c r="B12" s="335" t="s">
        <v>2933</v>
      </c>
      <c r="E12" s="503" t="str">
        <f>cst_wskakunin_dairi1_TEL</f>
        <v>054-621-5656</v>
      </c>
      <c r="F12" s="503"/>
      <c r="G12" s="503"/>
      <c r="H12" s="503"/>
      <c r="I12" s="503"/>
      <c r="J12" s="503"/>
    </row>
    <row r="13" spans="1:22" s="334" customFormat="1" ht="19.5" customHeight="1"/>
    <row r="14" spans="1:22" s="334" customFormat="1" ht="19.5" customHeight="1">
      <c r="A14" s="334" t="s">
        <v>2948</v>
      </c>
    </row>
    <row r="15" spans="1:22" s="334" customFormat="1" ht="19.5" customHeight="1"/>
    <row r="16" spans="1:22" ht="19.5" customHeight="1">
      <c r="A16" s="513" t="s">
        <v>0</v>
      </c>
      <c r="B16" s="513"/>
      <c r="C16" s="513"/>
      <c r="D16" s="513"/>
      <c r="E16" s="513"/>
      <c r="F16" s="513"/>
      <c r="G16" s="513"/>
      <c r="H16" s="513"/>
      <c r="I16" s="513"/>
      <c r="J16" s="513"/>
      <c r="K16" s="513"/>
      <c r="L16" s="513"/>
      <c r="M16" s="513"/>
      <c r="N16" s="513"/>
      <c r="O16" s="513"/>
      <c r="P16" s="513"/>
      <c r="Q16" s="513"/>
      <c r="R16" s="513"/>
      <c r="S16" s="513"/>
      <c r="T16" s="513"/>
      <c r="U16" s="513"/>
      <c r="V16" s="513"/>
    </row>
    <row r="17" spans="1:51" s="334" customFormat="1" ht="19.5" customHeight="1">
      <c r="A17" s="334" t="s">
        <v>2947</v>
      </c>
    </row>
    <row r="18" spans="1:51" s="334" customFormat="1" ht="19.5" customHeight="1">
      <c r="E18" s="437" t="str">
        <f ca="1">IF(OR(cst_wsjob_JOB_KIND="確認申請",cst_wsjob_JOB_KIND="計画変更"),"■","□")</f>
        <v>□</v>
      </c>
      <c r="F18" s="334" t="s">
        <v>2946</v>
      </c>
    </row>
    <row r="19" spans="1:51" s="334" customFormat="1" ht="19.5" customHeight="1">
      <c r="E19" s="437" t="str">
        <f ca="1">IF(cst_wsjob_JOB_KIND="中間検査","■","□")</f>
        <v>■</v>
      </c>
      <c r="F19" s="334" t="s">
        <v>2945</v>
      </c>
    </row>
    <row r="20" spans="1:51" s="334" customFormat="1" ht="19.5" customHeight="1">
      <c r="E20" s="437" t="str">
        <f ca="1">IF(cst_wsjob_JOB_KIND="完了検査","■","□")</f>
        <v>□</v>
      </c>
      <c r="F20" s="334" t="s">
        <v>2944</v>
      </c>
    </row>
    <row r="21" spans="1:51" s="334" customFormat="1" ht="19.5" customHeight="1">
      <c r="E21" s="279" t="s">
        <v>505</v>
      </c>
      <c r="F21" s="334" t="s">
        <v>2943</v>
      </c>
    </row>
    <row r="22" spans="1:51" s="334" customFormat="1" ht="19.5" customHeight="1">
      <c r="E22" s="279" t="s">
        <v>505</v>
      </c>
      <c r="F22" s="334" t="s">
        <v>2942</v>
      </c>
    </row>
    <row r="23" spans="1:51" s="334" customFormat="1" ht="19.5" customHeight="1">
      <c r="E23" s="279" t="s">
        <v>505</v>
      </c>
      <c r="F23" s="334" t="s">
        <v>2941</v>
      </c>
    </row>
    <row r="24" spans="1:51" s="334" customFormat="1" ht="19.5" customHeight="1">
      <c r="E24" s="279" t="s">
        <v>505</v>
      </c>
      <c r="F24" s="334" t="s">
        <v>2940</v>
      </c>
      <c r="I24" s="514"/>
      <c r="J24" s="514"/>
      <c r="K24" s="514"/>
      <c r="L24" s="514"/>
      <c r="M24" s="514"/>
      <c r="N24" s="514"/>
      <c r="O24" s="514"/>
      <c r="P24" s="514"/>
      <c r="Q24" s="514"/>
      <c r="R24" s="514"/>
      <c r="S24" s="514"/>
      <c r="T24" s="514"/>
      <c r="U24" s="514"/>
      <c r="V24" s="337" t="s">
        <v>4</v>
      </c>
    </row>
    <row r="25" spans="1:51" s="334" customFormat="1" ht="19.5" customHeight="1"/>
    <row r="26" spans="1:51" s="334" customFormat="1" ht="19.5" customHeight="1">
      <c r="A26" s="334" t="s">
        <v>2939</v>
      </c>
      <c r="AV26" s="334" t="s">
        <v>3184</v>
      </c>
      <c r="AW26" s="334" t="s">
        <v>3185</v>
      </c>
      <c r="AX26" s="334" t="s">
        <v>13</v>
      </c>
      <c r="AY26" s="334" t="s">
        <v>3172</v>
      </c>
    </row>
    <row r="27" spans="1:51" s="334" customFormat="1" ht="19.5" customHeight="1">
      <c r="E27" s="512" t="str">
        <f ca="1">IF(cst_wsjob_JOB_KIND="その他申請",cst_wsjob__address,cst_wskakunin_BUILD__address)</f>
        <v>静岡県静岡市葵区平和二丁目215-8</v>
      </c>
      <c r="F27" s="512"/>
      <c r="G27" s="512"/>
      <c r="H27" s="512"/>
      <c r="I27" s="512"/>
      <c r="J27" s="512"/>
      <c r="K27" s="512"/>
      <c r="L27" s="512"/>
      <c r="M27" s="512"/>
      <c r="N27" s="512"/>
      <c r="O27" s="512"/>
      <c r="P27" s="512"/>
      <c r="Q27" s="512"/>
      <c r="R27" s="512"/>
      <c r="S27" s="512"/>
      <c r="T27" s="512"/>
      <c r="U27" s="512"/>
      <c r="AU27" s="334" t="str">
        <f ca="1">IF(AV27="","","建築主1")</f>
        <v>建築主1</v>
      </c>
      <c r="AV27" s="334" t="str">
        <f ca="1">IF(cst_wsjob_JOB_KIND="その他申請",cst_wssonota_owner1__space,cst_wskakunin_owner1__space3)</f>
        <v>菅野　幸子</v>
      </c>
      <c r="AW27" s="334" t="str">
        <f ca="1">IF(cst_wsjob_JOB_KIND="その他申請",cst_wssonota_owner1_ZIP,cst_wskakunin_owner1_ZIP)</f>
        <v>420-0944</v>
      </c>
      <c r="AX27" s="334" t="str">
        <f ca="1">IF(cst_wsjob_JOB_KIND="その他申請",cst_wssonota_owner1__address,cst_wskakunin_owner1__address)</f>
        <v>静岡県静岡市葵区新伝馬二丁目8-41-101</v>
      </c>
      <c r="AY27" s="334" t="str">
        <f ca="1">IF(cst_wsjob_JOB_KIND="その他申請",cst_wssonota_owner1_TEL,cst_wskakunin_owner1_TEL)</f>
        <v>090-9183-9120</v>
      </c>
    </row>
    <row r="28" spans="1:51" s="334" customFormat="1" ht="19.5" customHeight="1">
      <c r="E28" s="512"/>
      <c r="F28" s="512"/>
      <c r="G28" s="512"/>
      <c r="H28" s="512"/>
      <c r="I28" s="512"/>
      <c r="J28" s="512"/>
      <c r="K28" s="512"/>
      <c r="L28" s="512"/>
      <c r="M28" s="512"/>
      <c r="N28" s="512"/>
      <c r="O28" s="512"/>
      <c r="P28" s="512"/>
      <c r="Q28" s="512"/>
      <c r="R28" s="512"/>
      <c r="S28" s="512"/>
      <c r="T28" s="512"/>
      <c r="U28" s="512"/>
      <c r="AU28" s="334" t="str">
        <f>IF(AV28="","","建築主2")</f>
        <v/>
      </c>
      <c r="AV28" s="334" t="str">
        <f>cst_wskakunin_owner2__space3</f>
        <v/>
      </c>
      <c r="AW28" s="334" t="str">
        <f>cst_wskakunin_owner2_ZIP</f>
        <v/>
      </c>
      <c r="AX28" s="334" t="str">
        <f>cst_wskakunin_owner2__address</f>
        <v/>
      </c>
      <c r="AY28" s="334" t="str">
        <f>cst_wskakunin_owner2_TEL</f>
        <v/>
      </c>
    </row>
    <row r="29" spans="1:51" s="334" customFormat="1" ht="19.5" customHeight="1">
      <c r="A29" s="334" t="s">
        <v>2938</v>
      </c>
      <c r="AU29" s="334" t="str">
        <f>IF(AV29="","","建築主3")</f>
        <v/>
      </c>
      <c r="AV29" s="334" t="str">
        <f>wskakunin_owner3_JIMU_NAME&amp;IF(wskakunin_owner3_JIMU_NAME="","",CHAR(10))&amp;IF(wskakunin_owner3_POST&amp;wskakunin_owner3_NAME="","",IF(wskakunin_owner3_POST="",wskakunin_owner3_NAME,wskakunin_owner3_POST&amp;"　"&amp;wskakunin_owner3_NAME))</f>
        <v/>
      </c>
      <c r="AW29" s="334" t="str">
        <f>cst_wskakunin_owner3_ZIP</f>
        <v/>
      </c>
      <c r="AX29" s="334" t="str">
        <f>cst_wskakunin_owner3__address</f>
        <v/>
      </c>
      <c r="AY29" s="334" t="str">
        <f>cst_wskakunin_owner3_TEL</f>
        <v/>
      </c>
    </row>
    <row r="30" spans="1:51" s="334" customFormat="1" ht="19.5" customHeight="1">
      <c r="E30" s="515" t="str">
        <f>cst_wskakunin_BUILD_NAME</f>
        <v>菅野　幸子　様邸　新築工事</v>
      </c>
      <c r="F30" s="515"/>
      <c r="G30" s="515"/>
      <c r="H30" s="515"/>
      <c r="I30" s="515"/>
      <c r="J30" s="515"/>
      <c r="K30" s="515"/>
      <c r="L30" s="515"/>
      <c r="M30" s="515"/>
      <c r="N30" s="515"/>
      <c r="O30" s="515"/>
      <c r="P30" s="515"/>
      <c r="Q30" s="515"/>
      <c r="R30" s="515"/>
      <c r="S30" s="515"/>
      <c r="T30" s="515"/>
      <c r="U30" s="515"/>
      <c r="AU30" s="334" t="str">
        <f>IF(AV30="","","建築主4")</f>
        <v/>
      </c>
      <c r="AV30" s="334" t="str">
        <f>wskakunin_owner4_JIMU_NAME&amp;IF(wskakunin_owner4_JIMU_NAME="","",CHAR(10))&amp;IF(wskakunin_owner4_POST&amp;wskakunin_owner4_NAME="","",IF(wskakunin_owner4_POST="",wskakunin_owner4_NAME,wskakunin_owner4_POST&amp;"　"&amp;wskakunin_owner4_NAME))</f>
        <v/>
      </c>
      <c r="AW30" s="334" t="str">
        <f>cst_wskakunin_owner4_ZIP</f>
        <v/>
      </c>
      <c r="AX30" s="334" t="str">
        <f>cst_wskakunin_owner4__address</f>
        <v/>
      </c>
      <c r="AY30" s="334" t="str">
        <f>cst_wskakunin_owner4_TEL</f>
        <v/>
      </c>
    </row>
    <row r="31" spans="1:51" s="334" customFormat="1" ht="19.5" customHeight="1">
      <c r="AA31" s="334" t="str">
        <f>IF(AV28="","","２人目以降の建築主が入力されております")</f>
        <v/>
      </c>
      <c r="AU31" s="334" t="str">
        <f>IF(AV31="","","建築主5")</f>
        <v/>
      </c>
      <c r="AV31" s="334" t="str">
        <f>wskakunin_owner5_JIMU_NAME&amp;IF(wskakunin_owner5_JIMU_NAME="","",CHAR(10))&amp;IF(wskakunin_owner5_POST&amp;wskakunin_owner5_NAME="","",IF(wskakunin_owner5_POST="",wskakunin_owner5_NAME,wskakunin_owner5_POST&amp;"　"&amp;wskakunin_owner5_NAME))</f>
        <v/>
      </c>
      <c r="AW31" s="334" t="str">
        <f>cst_wskakunin_owner5_ZIP</f>
        <v/>
      </c>
      <c r="AX31" s="334" t="str">
        <f>cst_wskakunin_owner5__address</f>
        <v/>
      </c>
      <c r="AY31" s="334" t="str">
        <f>cst_wskakunin_owner5_TEL</f>
        <v/>
      </c>
    </row>
    <row r="32" spans="1:51" s="334" customFormat="1" ht="19.5" customHeight="1">
      <c r="O32" s="336"/>
      <c r="P32" s="516"/>
      <c r="Q32" s="516"/>
      <c r="R32" s="435" t="s">
        <v>464</v>
      </c>
      <c r="S32" s="436"/>
      <c r="T32" s="435" t="s">
        <v>1</v>
      </c>
      <c r="U32" s="436"/>
      <c r="V32" s="435" t="s">
        <v>465</v>
      </c>
      <c r="AA32" s="334" t="str">
        <f>IF(AV28="","","（以下のプルダウンで委任状に表示される建築主を切替え出力してください）")</f>
        <v/>
      </c>
      <c r="AU32" s="334" t="str">
        <f>IF(AV32="","","建築主6")</f>
        <v/>
      </c>
      <c r="AV32" s="334" t="str">
        <f>wskakunin_owner6_JIMU_NAME&amp;IF(wskakunin_owner6_JIMU_NAME="","",CHAR(10))&amp;IF(wskakunin_owner6_POST&amp;wskakunin_owner6_NAME="","",IF(wskakunin_owner6_POST="",wskakunin_owner6_NAME,wskakunin_owner6_POST&amp;"　"&amp;wskakunin_owner6_NAME))</f>
        <v/>
      </c>
      <c r="AW32" s="334" t="str">
        <f>cst_wskakunin_owner6_ZIP</f>
        <v/>
      </c>
      <c r="AX32" s="334" t="str">
        <f>cst_wskakunin_owner6__address</f>
        <v/>
      </c>
      <c r="AY32" s="334" t="str">
        <f>cst_wskakunin_owner6_TEL</f>
        <v/>
      </c>
    </row>
    <row r="33" spans="1:51" s="334" customFormat="1" ht="19.5" customHeight="1" thickBot="1">
      <c r="A33" s="334" t="s">
        <v>2937</v>
      </c>
      <c r="AU33" s="334" t="str">
        <f>IF(AV33="","","建築主7")</f>
        <v/>
      </c>
      <c r="AV33" s="334" t="str">
        <f>wskakunin_owner7_JIMU_NAME&amp;IF(wskakunin_owner7_JIMU_NAME="","",CHAR(10))&amp;IF(wskakunin_owner7_POST&amp;wskakunin_owner7_NAME="","",IF(wskakunin_owner7_POST="",wskakunin_owner7_NAME,wskakunin_owner7_POST&amp;"　"&amp;wskakunin_owner7_NAME))</f>
        <v/>
      </c>
      <c r="AW33" s="334" t="str">
        <f>cst_wskakunin_owner7_ZIP</f>
        <v/>
      </c>
      <c r="AX33" s="334" t="str">
        <f>cst_wskakunin_owner7__address</f>
        <v/>
      </c>
      <c r="AY33" s="334" t="str">
        <f>cst_wskakunin_owner7_TEL</f>
        <v/>
      </c>
    </row>
    <row r="34" spans="1:51" s="334" customFormat="1" ht="19.5" customHeight="1">
      <c r="B34" s="335" t="s">
        <v>2936</v>
      </c>
      <c r="C34" s="335"/>
      <c r="D34" s="335"/>
      <c r="E34" s="512" t="str">
        <f ca="1">IFERROR(VLOOKUP(AA34,AU26:AY35,2,FALSE),"")</f>
        <v>菅野　幸子</v>
      </c>
      <c r="F34" s="512"/>
      <c r="G34" s="512"/>
      <c r="H34" s="512"/>
      <c r="I34" s="512"/>
      <c r="J34" s="512"/>
      <c r="K34" s="512"/>
      <c r="L34" s="512"/>
      <c r="M34" s="512"/>
      <c r="N34" s="512"/>
      <c r="O34" s="512"/>
      <c r="P34" s="512"/>
      <c r="Q34" s="512"/>
      <c r="R34" s="512"/>
      <c r="S34" s="512"/>
      <c r="T34" s="512"/>
      <c r="U34" s="512"/>
      <c r="AA34" s="506" t="s">
        <v>3218</v>
      </c>
      <c r="AB34" s="507"/>
      <c r="AC34" s="507"/>
      <c r="AD34" s="507"/>
      <c r="AE34" s="507"/>
      <c r="AF34" s="508"/>
      <c r="AU34" s="334" t="str">
        <f>IF(AV34="","","建築主8")</f>
        <v/>
      </c>
      <c r="AV34" s="334" t="str">
        <f>wskakunin_owner8_JIMU_NAME&amp;IF(wskakunin_owner8_JIMU_NAME="","",CHAR(10))&amp;IF(wskakunin_owner8_POST&amp;wskakunin_owner8_NAME="","",IF(wskakunin_owner8_POST="",wskakunin_owner8_NAME,wskakunin_owner8_POST&amp;"　"&amp;wskakunin_owner8_NAME))</f>
        <v/>
      </c>
      <c r="AW34" s="334" t="str">
        <f>cst_wskakunin_owner8_ZIP</f>
        <v/>
      </c>
      <c r="AX34" s="334" t="str">
        <f>cst_wskakunin_owner8__address</f>
        <v/>
      </c>
      <c r="AY34" s="334" t="str">
        <f>cst_wskakunin_owner8_TEL</f>
        <v/>
      </c>
    </row>
    <row r="35" spans="1:51" s="334" customFormat="1" ht="19.5" customHeight="1" thickBot="1">
      <c r="B35" s="335"/>
      <c r="C35" s="335"/>
      <c r="D35" s="335"/>
      <c r="E35" s="512"/>
      <c r="F35" s="512"/>
      <c r="G35" s="512"/>
      <c r="H35" s="512"/>
      <c r="I35" s="512"/>
      <c r="J35" s="512"/>
      <c r="K35" s="512"/>
      <c r="L35" s="512"/>
      <c r="M35" s="512"/>
      <c r="N35" s="512"/>
      <c r="O35" s="512"/>
      <c r="P35" s="512"/>
      <c r="Q35" s="512"/>
      <c r="R35" s="512"/>
      <c r="S35" s="512"/>
      <c r="T35" s="512"/>
      <c r="U35" s="512"/>
      <c r="AA35" s="509"/>
      <c r="AB35" s="510"/>
      <c r="AC35" s="510"/>
      <c r="AD35" s="510"/>
      <c r="AE35" s="510"/>
      <c r="AF35" s="511"/>
      <c r="AU35" s="334" t="str">
        <f>IF(AV35="","","建築主9")</f>
        <v/>
      </c>
      <c r="AV35" s="334" t="str">
        <f>wskakunin_owner9_JIMU_NAME&amp;IF(wskakunin_owner9_JIMU_NAME="","",CHAR(10))&amp;IF(wskakunin_owner9_POST&amp;wskakunin_owner9_NAME="","",IF(wskakunin_owner9_POST="",wskakunin_owner9_NAME,wskakunin_owner9_POST&amp;"　"&amp;wskakunin_owner9_NAME))</f>
        <v/>
      </c>
      <c r="AW35" s="334" t="str">
        <f>cst_wskakunin_owner9_ZIP</f>
        <v/>
      </c>
      <c r="AX35" s="334" t="str">
        <f>cst_wskakunin_owner9__address</f>
        <v/>
      </c>
      <c r="AY35" s="334" t="str">
        <f>cst_wskakunin_owner9_TEL</f>
        <v/>
      </c>
    </row>
    <row r="36" spans="1:51" s="334" customFormat="1" ht="19.5" customHeight="1">
      <c r="B36" s="335" t="s">
        <v>2935</v>
      </c>
      <c r="C36" s="335"/>
      <c r="D36" s="335"/>
      <c r="E36" s="503" t="str">
        <f ca="1">IFERROR(VLOOKUP(AA34,AU26:AY35,3,FALSE),"")</f>
        <v>420-0944</v>
      </c>
      <c r="F36" s="503"/>
      <c r="G36" s="503"/>
      <c r="H36" s="503"/>
      <c r="I36" s="335"/>
      <c r="J36" s="335"/>
      <c r="K36" s="335"/>
      <c r="L36" s="335"/>
      <c r="M36" s="335"/>
      <c r="N36" s="335"/>
      <c r="O36" s="335"/>
      <c r="P36" s="335"/>
      <c r="Q36" s="335"/>
      <c r="R36" s="335"/>
      <c r="S36" s="335"/>
      <c r="T36" s="335"/>
      <c r="U36" s="335"/>
    </row>
    <row r="37" spans="1:51" s="334" customFormat="1" ht="2.25" customHeight="1">
      <c r="B37" s="335"/>
      <c r="C37" s="335"/>
      <c r="D37" s="335"/>
      <c r="E37" s="335"/>
      <c r="F37" s="335"/>
      <c r="G37" s="335"/>
      <c r="H37" s="335"/>
      <c r="I37" s="335"/>
      <c r="J37" s="335"/>
      <c r="K37" s="335"/>
      <c r="L37" s="335"/>
      <c r="M37" s="335"/>
      <c r="N37" s="335"/>
      <c r="O37" s="335"/>
      <c r="P37" s="335"/>
      <c r="Q37" s="335"/>
      <c r="R37" s="335"/>
      <c r="S37" s="335"/>
      <c r="T37" s="335"/>
      <c r="U37" s="335"/>
    </row>
    <row r="38" spans="1:51" s="334" customFormat="1" ht="19.5" customHeight="1">
      <c r="B38" s="335" t="s">
        <v>2934</v>
      </c>
      <c r="C38" s="335"/>
      <c r="D38" s="335"/>
      <c r="E38" s="512" t="str">
        <f ca="1">IFERROR(VLOOKUP(AA34,AU26:AY35,4,FALSE),"")</f>
        <v>静岡県静岡市葵区新伝馬二丁目8-41-101</v>
      </c>
      <c r="F38" s="512"/>
      <c r="G38" s="512"/>
      <c r="H38" s="512"/>
      <c r="I38" s="512"/>
      <c r="J38" s="512"/>
      <c r="K38" s="512"/>
      <c r="L38" s="512"/>
      <c r="M38" s="512"/>
      <c r="N38" s="512"/>
      <c r="O38" s="512"/>
      <c r="P38" s="512"/>
      <c r="Q38" s="512"/>
      <c r="R38" s="512"/>
      <c r="S38" s="512"/>
      <c r="T38" s="512"/>
      <c r="U38" s="512"/>
    </row>
    <row r="39" spans="1:51" s="334" customFormat="1" ht="19.5" customHeight="1">
      <c r="B39" s="335"/>
      <c r="C39" s="335"/>
      <c r="D39" s="335"/>
      <c r="E39" s="512"/>
      <c r="F39" s="512"/>
      <c r="G39" s="512"/>
      <c r="H39" s="512"/>
      <c r="I39" s="512"/>
      <c r="J39" s="512"/>
      <c r="K39" s="512"/>
      <c r="L39" s="512"/>
      <c r="M39" s="512"/>
      <c r="N39" s="512"/>
      <c r="O39" s="512"/>
      <c r="P39" s="512"/>
      <c r="Q39" s="512"/>
      <c r="R39" s="512"/>
      <c r="S39" s="512"/>
      <c r="T39" s="512"/>
      <c r="U39" s="512"/>
    </row>
    <row r="40" spans="1:51" s="334" customFormat="1" ht="19.5" customHeight="1">
      <c r="B40" s="335" t="s">
        <v>2933</v>
      </c>
      <c r="C40" s="335"/>
      <c r="D40" s="335"/>
      <c r="E40" s="503" t="str">
        <f ca="1">IFERROR(VLOOKUP(AA34,AU26:AY35,5,FALSE),"")</f>
        <v>090-9183-9120</v>
      </c>
      <c r="F40" s="503"/>
      <c r="G40" s="503"/>
      <c r="H40" s="503"/>
      <c r="I40" s="503"/>
      <c r="J40" s="503"/>
      <c r="K40" s="335"/>
      <c r="L40" s="335"/>
      <c r="M40" s="335"/>
      <c r="N40" s="335"/>
      <c r="O40" s="335"/>
      <c r="P40" s="335"/>
      <c r="Q40" s="335"/>
      <c r="R40" s="335"/>
      <c r="S40" s="335"/>
      <c r="T40" s="335"/>
      <c r="U40" s="335"/>
    </row>
    <row r="41" spans="1:51" s="334" customFormat="1" ht="19.5" customHeight="1"/>
  </sheetData>
  <mergeCells count="16">
    <mergeCell ref="AA34:AF35"/>
    <mergeCell ref="E38:U39"/>
    <mergeCell ref="E40:J40"/>
    <mergeCell ref="A16:V16"/>
    <mergeCell ref="I24:U24"/>
    <mergeCell ref="E27:U28"/>
    <mergeCell ref="E30:U30"/>
    <mergeCell ref="E34:U35"/>
    <mergeCell ref="E36:H36"/>
    <mergeCell ref="P32:Q32"/>
    <mergeCell ref="E12:J12"/>
    <mergeCell ref="A1:V1"/>
    <mergeCell ref="E4:U5"/>
    <mergeCell ref="E6:U7"/>
    <mergeCell ref="E8:H8"/>
    <mergeCell ref="E10:U11"/>
  </mergeCells>
  <phoneticPr fontId="57"/>
  <conditionalFormatting sqref="E18:E20">
    <cfRule type="expression" dxfId="56" priority="4">
      <formula>cst_wsjob_JOB_KIND="その他申請"</formula>
    </cfRule>
  </conditionalFormatting>
  <conditionalFormatting sqref="E4:U7 E8:H8 E10:U11 E12:J12 E30:U30">
    <cfRule type="expression" dxfId="55" priority="2">
      <formula>cst_wsjob_JOB_KIND="その他申請"</formula>
    </cfRule>
  </conditionalFormatting>
  <conditionalFormatting sqref="E34:U35 E36:H36 E38:U39 E40:J40">
    <cfRule type="expression" dxfId="54" priority="1">
      <formula>AND($AA$34="建築主2",cst_wsjob_JOB_KIND="その他申請")</formula>
    </cfRule>
  </conditionalFormatting>
  <dataValidations count="2">
    <dataValidation type="list" allowBlank="1" showInputMessage="1" showErrorMessage="1" sqref="E18:E24">
      <formula1>"□,■"</formula1>
    </dataValidation>
    <dataValidation type="list" allowBlank="1" showInputMessage="1" showErrorMessage="1" sqref="AA34:AF35">
      <formula1>$AU$26:$AU$35</formula1>
    </dataValidation>
  </dataValidations>
  <printOptions horizontalCentered="1"/>
  <pageMargins left="0.7" right="0.7" top="0.75" bottom="0.75" header="0.3" footer="0.3"/>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zoomScaleNormal="100" workbookViewId="0">
      <selection sqref="A1:AA1"/>
    </sheetView>
  </sheetViews>
  <sheetFormatPr defaultColWidth="3.125" defaultRowHeight="13.5"/>
  <cols>
    <col min="1" max="1" width="3.125" style="16" customWidth="1"/>
    <col min="2" max="16384" width="3.125" style="16"/>
  </cols>
  <sheetData>
    <row r="1" spans="1:27" ht="14.25">
      <c r="A1" s="518" t="s">
        <v>3170</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row>
    <row r="2" spans="1:27" ht="7.5" customHeight="1">
      <c r="A2" s="472"/>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4"/>
    </row>
    <row r="3" spans="1:27">
      <c r="A3" s="475"/>
      <c r="B3" s="16" t="s">
        <v>3171</v>
      </c>
      <c r="H3" s="16" t="s">
        <v>120</v>
      </c>
      <c r="J3" s="519"/>
      <c r="K3" s="519"/>
      <c r="L3" s="519"/>
      <c r="M3" s="519"/>
      <c r="N3" s="519"/>
      <c r="O3" s="519"/>
      <c r="P3" s="519"/>
      <c r="Q3" s="519"/>
      <c r="R3" s="519"/>
      <c r="S3" s="519"/>
      <c r="T3" s="519"/>
      <c r="U3" s="519"/>
      <c r="V3" s="519"/>
      <c r="W3" s="519"/>
      <c r="X3" s="519"/>
      <c r="Y3" s="519"/>
      <c r="Z3" s="519"/>
      <c r="AA3" s="476"/>
    </row>
    <row r="4" spans="1:27" ht="9" customHeight="1">
      <c r="A4" s="475"/>
      <c r="AA4" s="476"/>
    </row>
    <row r="5" spans="1:27">
      <c r="A5" s="475"/>
      <c r="H5" s="16" t="s">
        <v>11</v>
      </c>
      <c r="J5" s="519"/>
      <c r="K5" s="519"/>
      <c r="L5" s="519"/>
      <c r="M5" s="519"/>
      <c r="N5" s="519"/>
      <c r="O5" s="519"/>
      <c r="P5" s="519"/>
      <c r="Q5" s="519"/>
      <c r="R5" s="519"/>
      <c r="S5" s="519"/>
      <c r="T5" s="519"/>
      <c r="U5" s="519"/>
      <c r="V5" s="519"/>
      <c r="W5" s="519"/>
      <c r="X5" s="519"/>
      <c r="Y5" s="519"/>
      <c r="Z5" s="519"/>
      <c r="AA5" s="476"/>
    </row>
    <row r="6" spans="1:27" ht="9" customHeight="1">
      <c r="A6" s="475"/>
      <c r="AA6" s="476"/>
    </row>
    <row r="7" spans="1:27">
      <c r="A7" s="475"/>
      <c r="H7" s="16" t="s">
        <v>3172</v>
      </c>
      <c r="J7" s="477"/>
      <c r="K7" s="477"/>
      <c r="L7" s="477"/>
      <c r="M7" s="477"/>
      <c r="N7" s="477"/>
      <c r="O7" s="477"/>
      <c r="R7" s="16" t="s">
        <v>3173</v>
      </c>
      <c r="T7" s="477"/>
      <c r="U7" s="477"/>
      <c r="V7" s="477"/>
      <c r="W7" s="477"/>
      <c r="X7" s="477"/>
      <c r="Y7" s="477"/>
      <c r="AA7" s="476"/>
    </row>
    <row r="8" spans="1:27" ht="9" customHeight="1">
      <c r="A8" s="475"/>
      <c r="AA8" s="476"/>
    </row>
    <row r="9" spans="1:27">
      <c r="A9" s="475"/>
      <c r="H9" s="16" t="s">
        <v>3174</v>
      </c>
      <c r="J9" s="477"/>
      <c r="K9" s="477"/>
      <c r="L9" s="477"/>
      <c r="M9" s="477"/>
      <c r="N9" s="477"/>
      <c r="O9" s="477"/>
      <c r="AA9" s="476"/>
    </row>
    <row r="10" spans="1:27" ht="7.5" customHeight="1">
      <c r="A10" s="478"/>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80"/>
    </row>
    <row r="11" spans="1:27" ht="11.25" customHeight="1"/>
    <row r="12" spans="1:27" ht="7.5" customHeight="1">
      <c r="A12" s="472"/>
      <c r="B12" s="473"/>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4"/>
    </row>
    <row r="13" spans="1:27">
      <c r="A13" s="475"/>
      <c r="B13" s="16" t="s">
        <v>3175</v>
      </c>
      <c r="J13" s="520"/>
      <c r="K13" s="520"/>
      <c r="L13" s="520"/>
      <c r="M13" s="16" t="s">
        <v>464</v>
      </c>
      <c r="N13" s="520"/>
      <c r="O13" s="521"/>
      <c r="P13" s="16" t="s">
        <v>1</v>
      </c>
      <c r="Q13" s="520"/>
      <c r="R13" s="521"/>
      <c r="S13" s="16" t="s">
        <v>465</v>
      </c>
      <c r="AA13" s="476"/>
    </row>
    <row r="14" spans="1:27" ht="7.5" customHeight="1">
      <c r="A14" s="478"/>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80"/>
    </row>
    <row r="15" spans="1:27" ht="11.25" customHeight="1"/>
    <row r="16" spans="1:27" ht="7.5" customHeight="1">
      <c r="A16" s="472"/>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4"/>
    </row>
    <row r="17" spans="1:27">
      <c r="A17" s="475"/>
      <c r="B17" s="16" t="s">
        <v>3176</v>
      </c>
      <c r="H17" s="16" t="s">
        <v>3177</v>
      </c>
      <c r="K17" s="16" t="s">
        <v>3</v>
      </c>
      <c r="L17" s="481" t="s">
        <v>505</v>
      </c>
      <c r="M17" s="482" t="s">
        <v>3178</v>
      </c>
      <c r="P17" s="481" t="s">
        <v>505</v>
      </c>
      <c r="Q17" s="482" t="s">
        <v>3179</v>
      </c>
      <c r="S17" s="16" t="s">
        <v>4</v>
      </c>
      <c r="AA17" s="476"/>
    </row>
    <row r="18" spans="1:27" ht="9" customHeight="1">
      <c r="A18" s="475"/>
      <c r="AA18" s="476"/>
    </row>
    <row r="19" spans="1:27">
      <c r="A19" s="475"/>
      <c r="H19" s="16" t="s">
        <v>1307</v>
      </c>
      <c r="K19" s="16" t="s">
        <v>3</v>
      </c>
      <c r="L19" s="481" t="s">
        <v>505</v>
      </c>
      <c r="M19" s="482" t="s">
        <v>3180</v>
      </c>
      <c r="P19" s="481" t="s">
        <v>505</v>
      </c>
      <c r="Q19" s="482" t="s">
        <v>3181</v>
      </c>
      <c r="S19" s="16" t="s">
        <v>4</v>
      </c>
      <c r="AA19" s="476"/>
    </row>
    <row r="20" spans="1:27" ht="7.5" customHeight="1">
      <c r="A20" s="478"/>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80"/>
    </row>
    <row r="21" spans="1:27" ht="11.25" customHeight="1"/>
    <row r="22" spans="1:27" ht="7.5" customHeight="1">
      <c r="A22" s="472"/>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4"/>
    </row>
    <row r="23" spans="1:27">
      <c r="A23" s="475"/>
      <c r="B23" s="497" t="s">
        <v>3292</v>
      </c>
      <c r="AA23" s="476"/>
    </row>
    <row r="24" spans="1:27" ht="9" customHeight="1">
      <c r="A24" s="475"/>
      <c r="AA24" s="476"/>
    </row>
    <row r="25" spans="1:27">
      <c r="A25" s="475"/>
      <c r="H25" s="16" t="s">
        <v>1299</v>
      </c>
      <c r="K25" s="16" t="s">
        <v>3</v>
      </c>
      <c r="L25" s="481" t="s">
        <v>505</v>
      </c>
      <c r="M25" s="482" t="s">
        <v>3178</v>
      </c>
      <c r="P25" s="481" t="s">
        <v>505</v>
      </c>
      <c r="Q25" s="482" t="s">
        <v>3179</v>
      </c>
      <c r="S25" s="16" t="s">
        <v>4</v>
      </c>
      <c r="AA25" s="476"/>
    </row>
    <row r="26" spans="1:27" ht="9" customHeight="1">
      <c r="A26" s="475"/>
      <c r="AA26" s="476"/>
    </row>
    <row r="27" spans="1:27">
      <c r="A27" s="475"/>
      <c r="H27" s="16" t="s">
        <v>3182</v>
      </c>
      <c r="K27" s="16" t="s">
        <v>3</v>
      </c>
      <c r="L27" s="481" t="s">
        <v>505</v>
      </c>
      <c r="M27" s="482" t="s">
        <v>3178</v>
      </c>
      <c r="P27" s="481" t="s">
        <v>505</v>
      </c>
      <c r="Q27" s="482" t="s">
        <v>3179</v>
      </c>
      <c r="S27" s="16" t="s">
        <v>4</v>
      </c>
      <c r="AA27" s="476"/>
    </row>
    <row r="28" spans="1:27" ht="7.5" customHeight="1">
      <c r="A28" s="478"/>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80"/>
    </row>
    <row r="29" spans="1:27" ht="11.25" customHeight="1"/>
    <row r="30" spans="1:27" ht="9" customHeight="1">
      <c r="A30" s="472"/>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4"/>
    </row>
    <row r="31" spans="1:27">
      <c r="A31" s="475"/>
      <c r="B31" s="16" t="s">
        <v>484</v>
      </c>
      <c r="H31" s="517"/>
      <c r="I31" s="517"/>
      <c r="J31" s="517"/>
      <c r="K31" s="517"/>
      <c r="L31" s="517"/>
      <c r="M31" s="517"/>
      <c r="N31" s="517"/>
      <c r="O31" s="517"/>
      <c r="P31" s="517"/>
      <c r="Q31" s="517"/>
      <c r="R31" s="517"/>
      <c r="S31" s="517"/>
      <c r="T31" s="517"/>
      <c r="U31" s="517"/>
      <c r="V31" s="517"/>
      <c r="W31" s="517"/>
      <c r="X31" s="517"/>
      <c r="Y31" s="517"/>
      <c r="Z31" s="517"/>
      <c r="AA31" s="476"/>
    </row>
    <row r="32" spans="1:27">
      <c r="A32" s="475"/>
      <c r="H32" s="517"/>
      <c r="I32" s="517"/>
      <c r="J32" s="517"/>
      <c r="K32" s="517"/>
      <c r="L32" s="517"/>
      <c r="M32" s="517"/>
      <c r="N32" s="517"/>
      <c r="O32" s="517"/>
      <c r="P32" s="517"/>
      <c r="Q32" s="517"/>
      <c r="R32" s="517"/>
      <c r="S32" s="517"/>
      <c r="T32" s="517"/>
      <c r="U32" s="517"/>
      <c r="V32" s="517"/>
      <c r="W32" s="517"/>
      <c r="X32" s="517"/>
      <c r="Y32" s="517"/>
      <c r="Z32" s="517"/>
      <c r="AA32" s="476"/>
    </row>
    <row r="33" spans="1:27" ht="9" customHeight="1">
      <c r="A33" s="478"/>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80"/>
    </row>
  </sheetData>
  <mergeCells count="7">
    <mergeCell ref="H31:Z32"/>
    <mergeCell ref="A1:AA1"/>
    <mergeCell ref="J3:Z3"/>
    <mergeCell ref="J5:Z5"/>
    <mergeCell ref="J13:L13"/>
    <mergeCell ref="N13:O13"/>
    <mergeCell ref="Q13:R13"/>
  </mergeCells>
  <phoneticPr fontId="57"/>
  <dataValidations count="1">
    <dataValidation type="list" allowBlank="1" showInputMessage="1" showErrorMessage="1" sqref="L17 L19 L25 L27 P17 P19 P25 P27">
      <formula1>しろくろ</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2"/>
  <sheetViews>
    <sheetView zoomScaleNormal="100" zoomScaleSheetLayoutView="100" workbookViewId="0"/>
  </sheetViews>
  <sheetFormatPr defaultColWidth="9" defaultRowHeight="12"/>
  <cols>
    <col min="1" max="27" width="3.125" style="410" customWidth="1"/>
    <col min="28" max="28" width="1.75" style="410" customWidth="1"/>
    <col min="29" max="29" width="9" style="410" customWidth="1"/>
    <col min="30" max="30" width="10.25" style="410" bestFit="1" customWidth="1"/>
    <col min="31" max="31" width="14.125" style="410" bestFit="1" customWidth="1"/>
    <col min="32" max="256" width="9" style="410" customWidth="1"/>
    <col min="257" max="283" width="3.125" style="410" customWidth="1"/>
    <col min="284" max="284" width="1.75" style="410" customWidth="1"/>
    <col min="285" max="285" width="9" style="410" customWidth="1"/>
    <col min="286" max="286" width="10.25" style="410" bestFit="1" customWidth="1"/>
    <col min="287" max="287" width="14.125" style="410" bestFit="1" customWidth="1"/>
    <col min="288" max="512" width="9" style="410" customWidth="1"/>
    <col min="513" max="539" width="3.125" style="410" customWidth="1"/>
    <col min="540" max="540" width="1.75" style="410" customWidth="1"/>
    <col min="541" max="541" width="9" style="410" customWidth="1"/>
    <col min="542" max="542" width="10.25" style="410" bestFit="1" customWidth="1"/>
    <col min="543" max="543" width="14.125" style="410" bestFit="1" customWidth="1"/>
    <col min="544" max="768" width="9" style="410" customWidth="1"/>
    <col min="769" max="795" width="3.125" style="410" customWidth="1"/>
    <col min="796" max="796" width="1.75" style="410" customWidth="1"/>
    <col min="797" max="797" width="9" style="410" customWidth="1"/>
    <col min="798" max="798" width="10.25" style="410" bestFit="1" customWidth="1"/>
    <col min="799" max="799" width="14.125" style="410" bestFit="1" customWidth="1"/>
    <col min="800" max="1024" width="9" style="410" customWidth="1"/>
    <col min="1025" max="1051" width="3.125" style="410" customWidth="1"/>
    <col min="1052" max="1052" width="1.75" style="410" customWidth="1"/>
    <col min="1053" max="1053" width="9" style="410" customWidth="1"/>
    <col min="1054" max="1054" width="10.25" style="410" bestFit="1" customWidth="1"/>
    <col min="1055" max="1055" width="14.125" style="410" bestFit="1" customWidth="1"/>
    <col min="1056" max="1280" width="9" style="410" customWidth="1"/>
    <col min="1281" max="1307" width="3.125" style="410" customWidth="1"/>
    <col min="1308" max="1308" width="1.75" style="410" customWidth="1"/>
    <col min="1309" max="1309" width="9" style="410" customWidth="1"/>
    <col min="1310" max="1310" width="10.25" style="410" bestFit="1" customWidth="1"/>
    <col min="1311" max="1311" width="14.125" style="410" bestFit="1" customWidth="1"/>
    <col min="1312" max="1536" width="9" style="410" customWidth="1"/>
    <col min="1537" max="1563" width="3.125" style="410" customWidth="1"/>
    <col min="1564" max="1564" width="1.75" style="410" customWidth="1"/>
    <col min="1565" max="1565" width="9" style="410" customWidth="1"/>
    <col min="1566" max="1566" width="10.25" style="410" bestFit="1" customWidth="1"/>
    <col min="1567" max="1567" width="14.125" style="410" bestFit="1" customWidth="1"/>
    <col min="1568" max="1792" width="9" style="410" customWidth="1"/>
    <col min="1793" max="1819" width="3.125" style="410" customWidth="1"/>
    <col min="1820" max="1820" width="1.75" style="410" customWidth="1"/>
    <col min="1821" max="1821" width="9" style="410" customWidth="1"/>
    <col min="1822" max="1822" width="10.25" style="410" bestFit="1" customWidth="1"/>
    <col min="1823" max="1823" width="14.125" style="410" bestFit="1" customWidth="1"/>
    <col min="1824" max="2048" width="9" style="410" customWidth="1"/>
    <col min="2049" max="2075" width="3.125" style="410" customWidth="1"/>
    <col min="2076" max="2076" width="1.75" style="410" customWidth="1"/>
    <col min="2077" max="2077" width="9" style="410" customWidth="1"/>
    <col min="2078" max="2078" width="10.25" style="410" bestFit="1" customWidth="1"/>
    <col min="2079" max="2079" width="14.125" style="410" bestFit="1" customWidth="1"/>
    <col min="2080" max="2304" width="9" style="410" customWidth="1"/>
    <col min="2305" max="2331" width="3.125" style="410" customWidth="1"/>
    <col min="2332" max="2332" width="1.75" style="410" customWidth="1"/>
    <col min="2333" max="2333" width="9" style="410" customWidth="1"/>
    <col min="2334" max="2334" width="10.25" style="410" bestFit="1" customWidth="1"/>
    <col min="2335" max="2335" width="14.125" style="410" bestFit="1" customWidth="1"/>
    <col min="2336" max="2560" width="9" style="410" customWidth="1"/>
    <col min="2561" max="2587" width="3.125" style="410" customWidth="1"/>
    <col min="2588" max="2588" width="1.75" style="410" customWidth="1"/>
    <col min="2589" max="2589" width="9" style="410" customWidth="1"/>
    <col min="2590" max="2590" width="10.25" style="410" bestFit="1" customWidth="1"/>
    <col min="2591" max="2591" width="14.125" style="410" bestFit="1" customWidth="1"/>
    <col min="2592" max="2816" width="9" style="410" customWidth="1"/>
    <col min="2817" max="2843" width="3.125" style="410" customWidth="1"/>
    <col min="2844" max="2844" width="1.75" style="410" customWidth="1"/>
    <col min="2845" max="2845" width="9" style="410" customWidth="1"/>
    <col min="2846" max="2846" width="10.25" style="410" bestFit="1" customWidth="1"/>
    <col min="2847" max="2847" width="14.125" style="410" bestFit="1" customWidth="1"/>
    <col min="2848" max="3072" width="9" style="410" customWidth="1"/>
    <col min="3073" max="3099" width="3.125" style="410" customWidth="1"/>
    <col min="3100" max="3100" width="1.75" style="410" customWidth="1"/>
    <col min="3101" max="3101" width="9" style="410" customWidth="1"/>
    <col min="3102" max="3102" width="10.25" style="410" bestFit="1" customWidth="1"/>
    <col min="3103" max="3103" width="14.125" style="410" bestFit="1" customWidth="1"/>
    <col min="3104" max="3328" width="9" style="410" customWidth="1"/>
    <col min="3329" max="3355" width="3.125" style="410" customWidth="1"/>
    <col min="3356" max="3356" width="1.75" style="410" customWidth="1"/>
    <col min="3357" max="3357" width="9" style="410" customWidth="1"/>
    <col min="3358" max="3358" width="10.25" style="410" bestFit="1" customWidth="1"/>
    <col min="3359" max="3359" width="14.125" style="410" bestFit="1" customWidth="1"/>
    <col min="3360" max="3584" width="9" style="410" customWidth="1"/>
    <col min="3585" max="3611" width="3.125" style="410" customWidth="1"/>
    <col min="3612" max="3612" width="1.75" style="410" customWidth="1"/>
    <col min="3613" max="3613" width="9" style="410" customWidth="1"/>
    <col min="3614" max="3614" width="10.25" style="410" bestFit="1" customWidth="1"/>
    <col min="3615" max="3615" width="14.125" style="410" bestFit="1" customWidth="1"/>
    <col min="3616" max="3840" width="9" style="410" customWidth="1"/>
    <col min="3841" max="3867" width="3.125" style="410" customWidth="1"/>
    <col min="3868" max="3868" width="1.75" style="410" customWidth="1"/>
    <col min="3869" max="3869" width="9" style="410" customWidth="1"/>
    <col min="3870" max="3870" width="10.25" style="410" bestFit="1" customWidth="1"/>
    <col min="3871" max="3871" width="14.125" style="410" bestFit="1" customWidth="1"/>
    <col min="3872" max="4096" width="9" style="410" customWidth="1"/>
    <col min="4097" max="4123" width="3.125" style="410" customWidth="1"/>
    <col min="4124" max="4124" width="1.75" style="410" customWidth="1"/>
    <col min="4125" max="4125" width="9" style="410" customWidth="1"/>
    <col min="4126" max="4126" width="10.25" style="410" bestFit="1" customWidth="1"/>
    <col min="4127" max="4127" width="14.125" style="410" bestFit="1" customWidth="1"/>
    <col min="4128" max="4352" width="9" style="410" customWidth="1"/>
    <col min="4353" max="4379" width="3.125" style="410" customWidth="1"/>
    <col min="4380" max="4380" width="1.75" style="410" customWidth="1"/>
    <col min="4381" max="4381" width="9" style="410" customWidth="1"/>
    <col min="4382" max="4382" width="10.25" style="410" bestFit="1" customWidth="1"/>
    <col min="4383" max="4383" width="14.125" style="410" bestFit="1" customWidth="1"/>
    <col min="4384" max="4608" width="9" style="410" customWidth="1"/>
    <col min="4609" max="4635" width="3.125" style="410" customWidth="1"/>
    <col min="4636" max="4636" width="1.75" style="410" customWidth="1"/>
    <col min="4637" max="4637" width="9" style="410" customWidth="1"/>
    <col min="4638" max="4638" width="10.25" style="410" bestFit="1" customWidth="1"/>
    <col min="4639" max="4639" width="14.125" style="410" bestFit="1" customWidth="1"/>
    <col min="4640" max="4864" width="9" style="410" customWidth="1"/>
    <col min="4865" max="4891" width="3.125" style="410" customWidth="1"/>
    <col min="4892" max="4892" width="1.75" style="410" customWidth="1"/>
    <col min="4893" max="4893" width="9" style="410" customWidth="1"/>
    <col min="4894" max="4894" width="10.25" style="410" bestFit="1" customWidth="1"/>
    <col min="4895" max="4895" width="14.125" style="410" bestFit="1" customWidth="1"/>
    <col min="4896" max="5120" width="9" style="410" customWidth="1"/>
    <col min="5121" max="5147" width="3.125" style="410" customWidth="1"/>
    <col min="5148" max="5148" width="1.75" style="410" customWidth="1"/>
    <col min="5149" max="5149" width="9" style="410" customWidth="1"/>
    <col min="5150" max="5150" width="10.25" style="410" bestFit="1" customWidth="1"/>
    <col min="5151" max="5151" width="14.125" style="410" bestFit="1" customWidth="1"/>
    <col min="5152" max="5376" width="9" style="410" customWidth="1"/>
    <col min="5377" max="5403" width="3.125" style="410" customWidth="1"/>
    <col min="5404" max="5404" width="1.75" style="410" customWidth="1"/>
    <col min="5405" max="5405" width="9" style="410" customWidth="1"/>
    <col min="5406" max="5406" width="10.25" style="410" bestFit="1" customWidth="1"/>
    <col min="5407" max="5407" width="14.125" style="410" bestFit="1" customWidth="1"/>
    <col min="5408" max="5632" width="9" style="410" customWidth="1"/>
    <col min="5633" max="5659" width="3.125" style="410" customWidth="1"/>
    <col min="5660" max="5660" width="1.75" style="410" customWidth="1"/>
    <col min="5661" max="5661" width="9" style="410" customWidth="1"/>
    <col min="5662" max="5662" width="10.25" style="410" bestFit="1" customWidth="1"/>
    <col min="5663" max="5663" width="14.125" style="410" bestFit="1" customWidth="1"/>
    <col min="5664" max="5888" width="9" style="410" customWidth="1"/>
    <col min="5889" max="5915" width="3.125" style="410" customWidth="1"/>
    <col min="5916" max="5916" width="1.75" style="410" customWidth="1"/>
    <col min="5917" max="5917" width="9" style="410" customWidth="1"/>
    <col min="5918" max="5918" width="10.25" style="410" bestFit="1" customWidth="1"/>
    <col min="5919" max="5919" width="14.125" style="410" bestFit="1" customWidth="1"/>
    <col min="5920" max="6144" width="9" style="410" customWidth="1"/>
    <col min="6145" max="6171" width="3.125" style="410" customWidth="1"/>
    <col min="6172" max="6172" width="1.75" style="410" customWidth="1"/>
    <col min="6173" max="6173" width="9" style="410" customWidth="1"/>
    <col min="6174" max="6174" width="10.25" style="410" bestFit="1" customWidth="1"/>
    <col min="6175" max="6175" width="14.125" style="410" bestFit="1" customWidth="1"/>
    <col min="6176" max="6400" width="9" style="410" customWidth="1"/>
    <col min="6401" max="6427" width="3.125" style="410" customWidth="1"/>
    <col min="6428" max="6428" width="1.75" style="410" customWidth="1"/>
    <col min="6429" max="6429" width="9" style="410" customWidth="1"/>
    <col min="6430" max="6430" width="10.25" style="410" bestFit="1" customWidth="1"/>
    <col min="6431" max="6431" width="14.125" style="410" bestFit="1" customWidth="1"/>
    <col min="6432" max="6656" width="9" style="410" customWidth="1"/>
    <col min="6657" max="6683" width="3.125" style="410" customWidth="1"/>
    <col min="6684" max="6684" width="1.75" style="410" customWidth="1"/>
    <col min="6685" max="6685" width="9" style="410" customWidth="1"/>
    <col min="6686" max="6686" width="10.25" style="410" bestFit="1" customWidth="1"/>
    <col min="6687" max="6687" width="14.125" style="410" bestFit="1" customWidth="1"/>
    <col min="6688" max="6912" width="9" style="410" customWidth="1"/>
    <col min="6913" max="6939" width="3.125" style="410" customWidth="1"/>
    <col min="6940" max="6940" width="1.75" style="410" customWidth="1"/>
    <col min="6941" max="6941" width="9" style="410" customWidth="1"/>
    <col min="6942" max="6942" width="10.25" style="410" bestFit="1" customWidth="1"/>
    <col min="6943" max="6943" width="14.125" style="410" bestFit="1" customWidth="1"/>
    <col min="6944" max="7168" width="9" style="410" customWidth="1"/>
    <col min="7169" max="7195" width="3.125" style="410" customWidth="1"/>
    <col min="7196" max="7196" width="1.75" style="410" customWidth="1"/>
    <col min="7197" max="7197" width="9" style="410" customWidth="1"/>
    <col min="7198" max="7198" width="10.25" style="410" bestFit="1" customWidth="1"/>
    <col min="7199" max="7199" width="14.125" style="410" bestFit="1" customWidth="1"/>
    <col min="7200" max="7424" width="9" style="410" customWidth="1"/>
    <col min="7425" max="7451" width="3.125" style="410" customWidth="1"/>
    <col min="7452" max="7452" width="1.75" style="410" customWidth="1"/>
    <col min="7453" max="7453" width="9" style="410" customWidth="1"/>
    <col min="7454" max="7454" width="10.25" style="410" bestFit="1" customWidth="1"/>
    <col min="7455" max="7455" width="14.125" style="410" bestFit="1" customWidth="1"/>
    <col min="7456" max="7680" width="9" style="410" customWidth="1"/>
    <col min="7681" max="7707" width="3.125" style="410" customWidth="1"/>
    <col min="7708" max="7708" width="1.75" style="410" customWidth="1"/>
    <col min="7709" max="7709" width="9" style="410" customWidth="1"/>
    <col min="7710" max="7710" width="10.25" style="410" bestFit="1" customWidth="1"/>
    <col min="7711" max="7711" width="14.125" style="410" bestFit="1" customWidth="1"/>
    <col min="7712" max="7936" width="9" style="410" customWidth="1"/>
    <col min="7937" max="7963" width="3.125" style="410" customWidth="1"/>
    <col min="7964" max="7964" width="1.75" style="410" customWidth="1"/>
    <col min="7965" max="7965" width="9" style="410" customWidth="1"/>
    <col min="7966" max="7966" width="10.25" style="410" bestFit="1" customWidth="1"/>
    <col min="7967" max="7967" width="14.125" style="410" bestFit="1" customWidth="1"/>
    <col min="7968" max="8192" width="9" style="410" customWidth="1"/>
    <col min="8193" max="8219" width="3.125" style="410" customWidth="1"/>
    <col min="8220" max="8220" width="1.75" style="410" customWidth="1"/>
    <col min="8221" max="8221" width="9" style="410" customWidth="1"/>
    <col min="8222" max="8222" width="10.25" style="410" bestFit="1" customWidth="1"/>
    <col min="8223" max="8223" width="14.125" style="410" bestFit="1" customWidth="1"/>
    <col min="8224" max="8448" width="9" style="410" customWidth="1"/>
    <col min="8449" max="8475" width="3.125" style="410" customWidth="1"/>
    <col min="8476" max="8476" width="1.75" style="410" customWidth="1"/>
    <col min="8477" max="8477" width="9" style="410" customWidth="1"/>
    <col min="8478" max="8478" width="10.25" style="410" bestFit="1" customWidth="1"/>
    <col min="8479" max="8479" width="14.125" style="410" bestFit="1" customWidth="1"/>
    <col min="8480" max="8704" width="9" style="410" customWidth="1"/>
    <col min="8705" max="8731" width="3.125" style="410" customWidth="1"/>
    <col min="8732" max="8732" width="1.75" style="410" customWidth="1"/>
    <col min="8733" max="8733" width="9" style="410" customWidth="1"/>
    <col min="8734" max="8734" width="10.25" style="410" bestFit="1" customWidth="1"/>
    <col min="8735" max="8735" width="14.125" style="410" bestFit="1" customWidth="1"/>
    <col min="8736" max="8960" width="9" style="410" customWidth="1"/>
    <col min="8961" max="8987" width="3.125" style="410" customWidth="1"/>
    <col min="8988" max="8988" width="1.75" style="410" customWidth="1"/>
    <col min="8989" max="8989" width="9" style="410" customWidth="1"/>
    <col min="8990" max="8990" width="10.25" style="410" bestFit="1" customWidth="1"/>
    <col min="8991" max="8991" width="14.125" style="410" bestFit="1" customWidth="1"/>
    <col min="8992" max="9216" width="9" style="410" customWidth="1"/>
    <col min="9217" max="9243" width="3.125" style="410" customWidth="1"/>
    <col min="9244" max="9244" width="1.75" style="410" customWidth="1"/>
    <col min="9245" max="9245" width="9" style="410" customWidth="1"/>
    <col min="9246" max="9246" width="10.25" style="410" bestFit="1" customWidth="1"/>
    <col min="9247" max="9247" width="14.125" style="410" bestFit="1" customWidth="1"/>
    <col min="9248" max="9472" width="9" style="410" customWidth="1"/>
    <col min="9473" max="9499" width="3.125" style="410" customWidth="1"/>
    <col min="9500" max="9500" width="1.75" style="410" customWidth="1"/>
    <col min="9501" max="9501" width="9" style="410" customWidth="1"/>
    <col min="9502" max="9502" width="10.25" style="410" bestFit="1" customWidth="1"/>
    <col min="9503" max="9503" width="14.125" style="410" bestFit="1" customWidth="1"/>
    <col min="9504" max="9728" width="9" style="410" customWidth="1"/>
    <col min="9729" max="9755" width="3.125" style="410" customWidth="1"/>
    <col min="9756" max="9756" width="1.75" style="410" customWidth="1"/>
    <col min="9757" max="9757" width="9" style="410" customWidth="1"/>
    <col min="9758" max="9758" width="10.25" style="410" bestFit="1" customWidth="1"/>
    <col min="9759" max="9759" width="14.125" style="410" bestFit="1" customWidth="1"/>
    <col min="9760" max="9984" width="9" style="410" customWidth="1"/>
    <col min="9985" max="10011" width="3.125" style="410" customWidth="1"/>
    <col min="10012" max="10012" width="1.75" style="410" customWidth="1"/>
    <col min="10013" max="10013" width="9" style="410" customWidth="1"/>
    <col min="10014" max="10014" width="10.25" style="410" bestFit="1" customWidth="1"/>
    <col min="10015" max="10015" width="14.125" style="410" bestFit="1" customWidth="1"/>
    <col min="10016" max="10240" width="9" style="410" customWidth="1"/>
    <col min="10241" max="10267" width="3.125" style="410" customWidth="1"/>
    <col min="10268" max="10268" width="1.75" style="410" customWidth="1"/>
    <col min="10269" max="10269" width="9" style="410" customWidth="1"/>
    <col min="10270" max="10270" width="10.25" style="410" bestFit="1" customWidth="1"/>
    <col min="10271" max="10271" width="14.125" style="410" bestFit="1" customWidth="1"/>
    <col min="10272" max="10496" width="9" style="410" customWidth="1"/>
    <col min="10497" max="10523" width="3.125" style="410" customWidth="1"/>
    <col min="10524" max="10524" width="1.75" style="410" customWidth="1"/>
    <col min="10525" max="10525" width="9" style="410" customWidth="1"/>
    <col min="10526" max="10526" width="10.25" style="410" bestFit="1" customWidth="1"/>
    <col min="10527" max="10527" width="14.125" style="410" bestFit="1" customWidth="1"/>
    <col min="10528" max="10752" width="9" style="410" customWidth="1"/>
    <col min="10753" max="10779" width="3.125" style="410" customWidth="1"/>
    <col min="10780" max="10780" width="1.75" style="410" customWidth="1"/>
    <col min="10781" max="10781" width="9" style="410" customWidth="1"/>
    <col min="10782" max="10782" width="10.25" style="410" bestFit="1" customWidth="1"/>
    <col min="10783" max="10783" width="14.125" style="410" bestFit="1" customWidth="1"/>
    <col min="10784" max="11008" width="9" style="410" customWidth="1"/>
    <col min="11009" max="11035" width="3.125" style="410" customWidth="1"/>
    <col min="11036" max="11036" width="1.75" style="410" customWidth="1"/>
    <col min="11037" max="11037" width="9" style="410" customWidth="1"/>
    <col min="11038" max="11038" width="10.25" style="410" bestFit="1" customWidth="1"/>
    <col min="11039" max="11039" width="14.125" style="410" bestFit="1" customWidth="1"/>
    <col min="11040" max="11264" width="9" style="410" customWidth="1"/>
    <col min="11265" max="11291" width="3.125" style="410" customWidth="1"/>
    <col min="11292" max="11292" width="1.75" style="410" customWidth="1"/>
    <col min="11293" max="11293" width="9" style="410" customWidth="1"/>
    <col min="11294" max="11294" width="10.25" style="410" bestFit="1" customWidth="1"/>
    <col min="11295" max="11295" width="14.125" style="410" bestFit="1" customWidth="1"/>
    <col min="11296" max="11520" width="9" style="410" customWidth="1"/>
    <col min="11521" max="11547" width="3.125" style="410" customWidth="1"/>
    <col min="11548" max="11548" width="1.75" style="410" customWidth="1"/>
    <col min="11549" max="11549" width="9" style="410" customWidth="1"/>
    <col min="11550" max="11550" width="10.25" style="410" bestFit="1" customWidth="1"/>
    <col min="11551" max="11551" width="14.125" style="410" bestFit="1" customWidth="1"/>
    <col min="11552" max="11776" width="9" style="410" customWidth="1"/>
    <col min="11777" max="11803" width="3.125" style="410" customWidth="1"/>
    <col min="11804" max="11804" width="1.75" style="410" customWidth="1"/>
    <col min="11805" max="11805" width="9" style="410" customWidth="1"/>
    <col min="11806" max="11806" width="10.25" style="410" bestFit="1" customWidth="1"/>
    <col min="11807" max="11807" width="14.125" style="410" bestFit="1" customWidth="1"/>
    <col min="11808" max="12032" width="9" style="410" customWidth="1"/>
    <col min="12033" max="12059" width="3.125" style="410" customWidth="1"/>
    <col min="12060" max="12060" width="1.75" style="410" customWidth="1"/>
    <col min="12061" max="12061" width="9" style="410" customWidth="1"/>
    <col min="12062" max="12062" width="10.25" style="410" bestFit="1" customWidth="1"/>
    <col min="12063" max="12063" width="14.125" style="410" bestFit="1" customWidth="1"/>
    <col min="12064" max="12288" width="9" style="410" customWidth="1"/>
    <col min="12289" max="12315" width="3.125" style="410" customWidth="1"/>
    <col min="12316" max="12316" width="1.75" style="410" customWidth="1"/>
    <col min="12317" max="12317" width="9" style="410" customWidth="1"/>
    <col min="12318" max="12318" width="10.25" style="410" bestFit="1" customWidth="1"/>
    <col min="12319" max="12319" width="14.125" style="410" bestFit="1" customWidth="1"/>
    <col min="12320" max="12544" width="9" style="410" customWidth="1"/>
    <col min="12545" max="12571" width="3.125" style="410" customWidth="1"/>
    <col min="12572" max="12572" width="1.75" style="410" customWidth="1"/>
    <col min="12573" max="12573" width="9" style="410" customWidth="1"/>
    <col min="12574" max="12574" width="10.25" style="410" bestFit="1" customWidth="1"/>
    <col min="12575" max="12575" width="14.125" style="410" bestFit="1" customWidth="1"/>
    <col min="12576" max="12800" width="9" style="410" customWidth="1"/>
    <col min="12801" max="12827" width="3.125" style="410" customWidth="1"/>
    <col min="12828" max="12828" width="1.75" style="410" customWidth="1"/>
    <col min="12829" max="12829" width="9" style="410" customWidth="1"/>
    <col min="12830" max="12830" width="10.25" style="410" bestFit="1" customWidth="1"/>
    <col min="12831" max="12831" width="14.125" style="410" bestFit="1" customWidth="1"/>
    <col min="12832" max="13056" width="9" style="410" customWidth="1"/>
    <col min="13057" max="13083" width="3.125" style="410" customWidth="1"/>
    <col min="13084" max="13084" width="1.75" style="410" customWidth="1"/>
    <col min="13085" max="13085" width="9" style="410" customWidth="1"/>
    <col min="13086" max="13086" width="10.25" style="410" bestFit="1" customWidth="1"/>
    <col min="13087" max="13087" width="14.125" style="410" bestFit="1" customWidth="1"/>
    <col min="13088" max="13312" width="9" style="410" customWidth="1"/>
    <col min="13313" max="13339" width="3.125" style="410" customWidth="1"/>
    <col min="13340" max="13340" width="1.75" style="410" customWidth="1"/>
    <col min="13341" max="13341" width="9" style="410" customWidth="1"/>
    <col min="13342" max="13342" width="10.25" style="410" bestFit="1" customWidth="1"/>
    <col min="13343" max="13343" width="14.125" style="410" bestFit="1" customWidth="1"/>
    <col min="13344" max="13568" width="9" style="410" customWidth="1"/>
    <col min="13569" max="13595" width="3.125" style="410" customWidth="1"/>
    <col min="13596" max="13596" width="1.75" style="410" customWidth="1"/>
    <col min="13597" max="13597" width="9" style="410" customWidth="1"/>
    <col min="13598" max="13598" width="10.25" style="410" bestFit="1" customWidth="1"/>
    <col min="13599" max="13599" width="14.125" style="410" bestFit="1" customWidth="1"/>
    <col min="13600" max="13824" width="9" style="410" customWidth="1"/>
    <col min="13825" max="13851" width="3.125" style="410" customWidth="1"/>
    <col min="13852" max="13852" width="1.75" style="410" customWidth="1"/>
    <col min="13853" max="13853" width="9" style="410" customWidth="1"/>
    <col min="13854" max="13854" width="10.25" style="410" bestFit="1" customWidth="1"/>
    <col min="13855" max="13855" width="14.125" style="410" bestFit="1" customWidth="1"/>
    <col min="13856" max="14080" width="9" style="410" customWidth="1"/>
    <col min="14081" max="14107" width="3.125" style="410" customWidth="1"/>
    <col min="14108" max="14108" width="1.75" style="410" customWidth="1"/>
    <col min="14109" max="14109" width="9" style="410" customWidth="1"/>
    <col min="14110" max="14110" width="10.25" style="410" bestFit="1" customWidth="1"/>
    <col min="14111" max="14111" width="14.125" style="410" bestFit="1" customWidth="1"/>
    <col min="14112" max="14336" width="9" style="410" customWidth="1"/>
    <col min="14337" max="14363" width="3.125" style="410" customWidth="1"/>
    <col min="14364" max="14364" width="1.75" style="410" customWidth="1"/>
    <col min="14365" max="14365" width="9" style="410" customWidth="1"/>
    <col min="14366" max="14366" width="10.25" style="410" bestFit="1" customWidth="1"/>
    <col min="14367" max="14367" width="14.125" style="410" bestFit="1" customWidth="1"/>
    <col min="14368" max="14592" width="9" style="410" customWidth="1"/>
    <col min="14593" max="14619" width="3.125" style="410" customWidth="1"/>
    <col min="14620" max="14620" width="1.75" style="410" customWidth="1"/>
    <col min="14621" max="14621" width="9" style="410" customWidth="1"/>
    <col min="14622" max="14622" width="10.25" style="410" bestFit="1" customWidth="1"/>
    <col min="14623" max="14623" width="14.125" style="410" bestFit="1" customWidth="1"/>
    <col min="14624" max="14848" width="9" style="410" customWidth="1"/>
    <col min="14849" max="14875" width="3.125" style="410" customWidth="1"/>
    <col min="14876" max="14876" width="1.75" style="410" customWidth="1"/>
    <col min="14877" max="14877" width="9" style="410" customWidth="1"/>
    <col min="14878" max="14878" width="10.25" style="410" bestFit="1" customWidth="1"/>
    <col min="14879" max="14879" width="14.125" style="410" bestFit="1" customWidth="1"/>
    <col min="14880" max="15104" width="9" style="410" customWidth="1"/>
    <col min="15105" max="15131" width="3.125" style="410" customWidth="1"/>
    <col min="15132" max="15132" width="1.75" style="410" customWidth="1"/>
    <col min="15133" max="15133" width="9" style="410" customWidth="1"/>
    <col min="15134" max="15134" width="10.25" style="410" bestFit="1" customWidth="1"/>
    <col min="15135" max="15135" width="14.125" style="410" bestFit="1" customWidth="1"/>
    <col min="15136" max="15360" width="9" style="410" customWidth="1"/>
    <col min="15361" max="15387" width="3.125" style="410" customWidth="1"/>
    <col min="15388" max="15388" width="1.75" style="410" customWidth="1"/>
    <col min="15389" max="15389" width="9" style="410" customWidth="1"/>
    <col min="15390" max="15390" width="10.25" style="410" bestFit="1" customWidth="1"/>
    <col min="15391" max="15391" width="14.125" style="410" bestFit="1" customWidth="1"/>
    <col min="15392" max="15616" width="9" style="410" customWidth="1"/>
    <col min="15617" max="15643" width="3.125" style="410" customWidth="1"/>
    <col min="15644" max="15644" width="1.75" style="410" customWidth="1"/>
    <col min="15645" max="15645" width="9" style="410" customWidth="1"/>
    <col min="15646" max="15646" width="10.25" style="410" bestFit="1" customWidth="1"/>
    <col min="15647" max="15647" width="14.125" style="410" bestFit="1" customWidth="1"/>
    <col min="15648" max="15872" width="9" style="410" customWidth="1"/>
    <col min="15873" max="15899" width="3.125" style="410" customWidth="1"/>
    <col min="15900" max="15900" width="1.75" style="410" customWidth="1"/>
    <col min="15901" max="15901" width="9" style="410" customWidth="1"/>
    <col min="15902" max="15902" width="10.25" style="410" bestFit="1" customWidth="1"/>
    <col min="15903" max="15903" width="14.125" style="410" bestFit="1" customWidth="1"/>
    <col min="15904" max="16128" width="9" style="410" customWidth="1"/>
    <col min="16129" max="16155" width="3.125" style="410" customWidth="1"/>
    <col min="16156" max="16156" width="1.75" style="410" customWidth="1"/>
    <col min="16157" max="16157" width="9" style="410" customWidth="1"/>
    <col min="16158" max="16158" width="10.25" style="410" bestFit="1" customWidth="1"/>
    <col min="16159" max="16159" width="14.125" style="410" bestFit="1" customWidth="1"/>
    <col min="16160" max="16384" width="9" style="410" customWidth="1"/>
  </cols>
  <sheetData>
    <row r="1" spans="1:27" ht="6" customHeight="1"/>
    <row r="2" spans="1:27">
      <c r="A2" s="410" t="s">
        <v>5</v>
      </c>
    </row>
    <row r="4" spans="1:27">
      <c r="A4" s="549" t="s">
        <v>6</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row>
    <row r="5" spans="1:27" ht="30.75" customHeight="1">
      <c r="A5" s="550" t="s">
        <v>7</v>
      </c>
      <c r="B5" s="550"/>
      <c r="C5" s="550"/>
      <c r="D5" s="550"/>
      <c r="E5" s="550"/>
      <c r="F5" s="550"/>
      <c r="G5" s="550"/>
      <c r="H5" s="550"/>
      <c r="I5" s="550"/>
      <c r="J5" s="550"/>
      <c r="K5" s="550"/>
      <c r="L5" s="550"/>
      <c r="M5" s="550"/>
      <c r="N5" s="550"/>
      <c r="O5" s="550"/>
      <c r="P5" s="550"/>
      <c r="Q5" s="550"/>
      <c r="R5" s="550"/>
      <c r="S5" s="551"/>
      <c r="T5" s="551"/>
      <c r="U5" s="551"/>
      <c r="V5" s="551"/>
      <c r="W5" s="551"/>
      <c r="X5" s="551"/>
      <c r="Y5" s="551"/>
      <c r="Z5" s="551"/>
      <c r="AA5" s="551"/>
    </row>
    <row r="6" spans="1:27">
      <c r="A6" s="549" t="s">
        <v>8</v>
      </c>
      <c r="B6" s="549"/>
      <c r="C6" s="549"/>
      <c r="D6" s="549"/>
      <c r="E6" s="549"/>
      <c r="F6" s="549"/>
      <c r="G6" s="549"/>
      <c r="H6" s="549"/>
      <c r="I6" s="549"/>
      <c r="J6" s="549"/>
      <c r="K6" s="549"/>
      <c r="L6" s="549"/>
      <c r="M6" s="549"/>
      <c r="N6" s="549"/>
      <c r="O6" s="549"/>
      <c r="P6" s="549"/>
      <c r="Q6" s="549"/>
      <c r="R6" s="549"/>
      <c r="S6" s="552"/>
      <c r="T6" s="552"/>
      <c r="U6" s="552"/>
      <c r="V6" s="552"/>
      <c r="W6" s="552"/>
      <c r="X6" s="552"/>
      <c r="Y6" s="552"/>
      <c r="Z6" s="552"/>
      <c r="AA6" s="552"/>
    </row>
    <row r="8" spans="1:27" ht="18.75" customHeight="1">
      <c r="S8" s="522" t="str">
        <f>cst_wskakunin_SHINSEI_DATE</f>
        <v/>
      </c>
      <c r="T8" s="522"/>
      <c r="U8" s="522"/>
      <c r="V8" s="410" t="s">
        <v>464</v>
      </c>
      <c r="W8" s="421" t="str">
        <f>cst_wskakunin_SHINSEI_DATE</f>
        <v/>
      </c>
      <c r="X8" s="410" t="s">
        <v>1</v>
      </c>
      <c r="Y8" s="422" t="str">
        <f>cst_wskakunin_SHINSEI_DATE</f>
        <v/>
      </c>
      <c r="Z8" s="410" t="s">
        <v>465</v>
      </c>
    </row>
    <row r="9" spans="1:27" ht="15.75" customHeight="1"/>
    <row r="10" spans="1:27" ht="18" customHeight="1">
      <c r="A10" s="270"/>
      <c r="B10" s="553" t="str">
        <f>cst_wskakunin_BUILD_KEN__ken</f>
        <v>静岡県</v>
      </c>
      <c r="C10" s="554"/>
      <c r="D10" s="554"/>
      <c r="E10" s="554"/>
      <c r="F10" s="270" t="s">
        <v>9</v>
      </c>
      <c r="G10" s="270"/>
      <c r="H10" s="270"/>
      <c r="I10" s="270"/>
      <c r="J10" s="270"/>
      <c r="K10" s="270"/>
      <c r="L10" s="270"/>
      <c r="M10" s="270"/>
      <c r="N10" s="270"/>
      <c r="O10" s="270"/>
      <c r="P10" s="270"/>
      <c r="Q10" s="270"/>
      <c r="R10" s="270"/>
      <c r="S10" s="270"/>
      <c r="T10" s="270"/>
      <c r="U10" s="270"/>
      <c r="V10" s="270"/>
      <c r="W10" s="270"/>
      <c r="X10" s="270"/>
      <c r="Y10" s="270"/>
      <c r="Z10" s="270"/>
      <c r="AA10" s="270"/>
    </row>
    <row r="11" spans="1:27" ht="18" customHeight="1">
      <c r="A11" s="410" t="s">
        <v>10</v>
      </c>
    </row>
    <row r="12" spans="1:27" ht="18" customHeight="1">
      <c r="B12" s="552" t="s">
        <v>11</v>
      </c>
      <c r="C12" s="552"/>
      <c r="D12" s="552"/>
      <c r="E12" s="555" t="str">
        <f>cst_wskakunin_owner1__space3</f>
        <v>菅野　幸子</v>
      </c>
      <c r="F12" s="555"/>
      <c r="G12" s="555"/>
      <c r="H12" s="555"/>
      <c r="I12" s="555"/>
      <c r="J12" s="555"/>
      <c r="K12" s="555"/>
      <c r="L12" s="555"/>
      <c r="M12" s="555"/>
      <c r="N12" s="555"/>
      <c r="O12" s="555"/>
      <c r="P12" s="555"/>
      <c r="Q12" s="555"/>
      <c r="R12" s="555"/>
      <c r="S12" s="555"/>
      <c r="T12" s="555"/>
      <c r="U12" s="555"/>
      <c r="V12" s="555"/>
      <c r="W12" s="555"/>
      <c r="X12" s="555"/>
      <c r="Y12" s="555"/>
      <c r="Z12" s="552"/>
    </row>
    <row r="13" spans="1:27" ht="18" customHeight="1">
      <c r="B13" s="552"/>
      <c r="C13" s="552"/>
      <c r="D13" s="552"/>
      <c r="E13" s="555"/>
      <c r="F13" s="555"/>
      <c r="G13" s="555"/>
      <c r="H13" s="555"/>
      <c r="I13" s="555"/>
      <c r="J13" s="555"/>
      <c r="K13" s="555"/>
      <c r="L13" s="555"/>
      <c r="M13" s="555"/>
      <c r="N13" s="555"/>
      <c r="O13" s="555"/>
      <c r="P13" s="555"/>
      <c r="Q13" s="555"/>
      <c r="R13" s="555"/>
      <c r="S13" s="555"/>
      <c r="T13" s="555"/>
      <c r="U13" s="555"/>
      <c r="V13" s="555"/>
      <c r="W13" s="555"/>
      <c r="X13" s="555"/>
      <c r="Y13" s="555"/>
      <c r="Z13" s="552"/>
    </row>
    <row r="14" spans="1:27" ht="18" customHeight="1">
      <c r="B14" s="410" t="s">
        <v>12</v>
      </c>
      <c r="E14" s="547" t="str">
        <f>cst_wskakunin_owner1_ZIP</f>
        <v>420-0944</v>
      </c>
      <c r="F14" s="548"/>
      <c r="G14" s="548"/>
      <c r="H14" s="548"/>
      <c r="I14" s="548"/>
      <c r="J14" s="548"/>
    </row>
    <row r="15" spans="1:27" ht="18" customHeight="1">
      <c r="B15" s="410" t="s">
        <v>13</v>
      </c>
      <c r="E15" s="547" t="str">
        <f>cst_wskakunin_owner1__address</f>
        <v>静岡県静岡市葵区新伝馬二丁目8-41-101</v>
      </c>
      <c r="F15" s="556"/>
      <c r="G15" s="556"/>
      <c r="H15" s="556"/>
      <c r="I15" s="556"/>
      <c r="J15" s="556"/>
      <c r="K15" s="556"/>
      <c r="L15" s="556"/>
      <c r="M15" s="556"/>
      <c r="N15" s="556"/>
      <c r="O15" s="556"/>
      <c r="P15" s="556"/>
      <c r="Q15" s="556"/>
      <c r="R15" s="556"/>
      <c r="S15" s="556"/>
      <c r="T15" s="556"/>
      <c r="U15" s="556"/>
      <c r="V15" s="556"/>
      <c r="W15" s="556"/>
      <c r="X15" s="557"/>
      <c r="Y15" s="557"/>
      <c r="Z15" s="557"/>
      <c r="AA15" s="548"/>
    </row>
    <row r="16" spans="1:27" ht="18" customHeight="1">
      <c r="A16" s="270"/>
      <c r="B16" s="270" t="s">
        <v>14</v>
      </c>
      <c r="C16" s="270"/>
      <c r="D16" s="270"/>
      <c r="E16" s="558" t="str">
        <f>cst_wskakunin_owner1_TEL</f>
        <v>090-9183-9120</v>
      </c>
      <c r="F16" s="559"/>
      <c r="G16" s="559"/>
      <c r="H16" s="559"/>
      <c r="I16" s="559"/>
      <c r="J16" s="559"/>
      <c r="K16" s="559"/>
      <c r="L16" s="559"/>
      <c r="M16" s="270"/>
      <c r="N16" s="270"/>
      <c r="O16" s="270"/>
      <c r="P16" s="270"/>
      <c r="Q16" s="270"/>
      <c r="R16" s="270"/>
      <c r="S16" s="270"/>
      <c r="T16" s="270"/>
      <c r="U16" s="270"/>
      <c r="V16" s="270"/>
      <c r="W16" s="270"/>
      <c r="X16" s="270"/>
      <c r="Y16" s="270"/>
      <c r="Z16" s="270"/>
      <c r="AA16" s="270"/>
    </row>
    <row r="17" spans="1:27" ht="18" customHeight="1">
      <c r="A17" s="410" t="s">
        <v>15</v>
      </c>
    </row>
    <row r="18" spans="1:27" ht="18" customHeight="1">
      <c r="B18" s="410" t="s">
        <v>11</v>
      </c>
      <c r="E18" s="547" t="str">
        <f>cst_wskakunin_sekou1_NAME</f>
        <v>代表取締役　山田　耕治</v>
      </c>
      <c r="F18" s="548"/>
      <c r="G18" s="548"/>
      <c r="H18" s="548"/>
      <c r="I18" s="548"/>
      <c r="J18" s="548"/>
      <c r="K18" s="548"/>
      <c r="L18" s="548"/>
      <c r="M18" s="548"/>
      <c r="N18" s="548"/>
      <c r="O18" s="548"/>
      <c r="P18" s="548"/>
      <c r="Q18" s="548"/>
      <c r="R18" s="548"/>
      <c r="S18" s="548"/>
      <c r="T18" s="548"/>
      <c r="U18" s="548"/>
      <c r="V18" s="548"/>
      <c r="W18" s="548"/>
      <c r="X18" s="548"/>
      <c r="Y18" s="548"/>
      <c r="Z18" s="548"/>
      <c r="AA18" s="548"/>
    </row>
    <row r="19" spans="1:27" ht="18" customHeight="1">
      <c r="B19" s="410" t="s">
        <v>16</v>
      </c>
    </row>
    <row r="20" spans="1:27" ht="18" customHeight="1">
      <c r="E20" s="547" t="str">
        <f>cst_wskakunin_sekou1_JIMU_NAME</f>
        <v>株式会社　山田工務店</v>
      </c>
      <c r="F20" s="548"/>
      <c r="G20" s="548"/>
      <c r="H20" s="548"/>
      <c r="I20" s="548"/>
      <c r="J20" s="548"/>
      <c r="K20" s="548"/>
      <c r="L20" s="548"/>
      <c r="M20" s="548"/>
      <c r="N20" s="548"/>
      <c r="O20" s="548"/>
      <c r="P20" s="548"/>
      <c r="Q20" s="548"/>
      <c r="R20" s="548"/>
      <c r="S20" s="548"/>
      <c r="T20" s="548"/>
      <c r="U20" s="548"/>
      <c r="V20" s="548"/>
      <c r="W20" s="548"/>
      <c r="X20" s="548"/>
      <c r="Y20" s="548"/>
      <c r="Z20" s="548"/>
      <c r="AA20" s="548"/>
    </row>
    <row r="21" spans="1:27" ht="18" customHeight="1">
      <c r="B21" s="410" t="s">
        <v>12</v>
      </c>
      <c r="E21" s="547" t="str">
        <f>cst_wskakunin_sekou1_ZIP</f>
        <v>425-0074</v>
      </c>
      <c r="F21" s="548"/>
      <c r="G21" s="548"/>
      <c r="H21" s="548"/>
      <c r="I21" s="548"/>
      <c r="J21" s="548"/>
    </row>
    <row r="22" spans="1:27" ht="18" customHeight="1">
      <c r="B22" s="410" t="s">
        <v>17</v>
      </c>
      <c r="E22" s="547" t="str">
        <f>cst_wskakunin_sekou1__address</f>
        <v>静岡県焼津市柳新屋648-2</v>
      </c>
      <c r="F22" s="557"/>
      <c r="G22" s="557"/>
      <c r="H22" s="557"/>
      <c r="I22" s="557"/>
      <c r="J22" s="557"/>
      <c r="K22" s="557"/>
      <c r="L22" s="557"/>
      <c r="M22" s="557"/>
      <c r="N22" s="557"/>
      <c r="O22" s="557"/>
      <c r="P22" s="557"/>
      <c r="Q22" s="557"/>
      <c r="R22" s="557"/>
      <c r="S22" s="557"/>
      <c r="T22" s="557"/>
      <c r="U22" s="557"/>
      <c r="V22" s="557"/>
      <c r="W22" s="557"/>
      <c r="X22" s="557"/>
      <c r="Y22" s="557"/>
      <c r="Z22" s="557"/>
      <c r="AA22" s="548"/>
    </row>
    <row r="23" spans="1:27" ht="18" customHeight="1">
      <c r="A23" s="270"/>
      <c r="B23" s="270" t="s">
        <v>14</v>
      </c>
      <c r="C23" s="270"/>
      <c r="D23" s="270"/>
      <c r="E23" s="558" t="str">
        <f>cst_wskakunin_sekou1_TEL</f>
        <v>054-621-3838</v>
      </c>
      <c r="F23" s="559"/>
      <c r="G23" s="559"/>
      <c r="H23" s="559"/>
      <c r="I23" s="559"/>
      <c r="J23" s="559"/>
      <c r="K23" s="559"/>
      <c r="L23" s="559"/>
      <c r="M23" s="270"/>
      <c r="N23" s="270"/>
      <c r="O23" s="270"/>
      <c r="P23" s="270"/>
      <c r="Q23" s="270"/>
      <c r="R23" s="270"/>
      <c r="S23" s="270"/>
      <c r="T23" s="270"/>
      <c r="U23" s="270"/>
      <c r="V23" s="270"/>
      <c r="W23" s="270"/>
      <c r="X23" s="270"/>
      <c r="Y23" s="270"/>
      <c r="Z23" s="270"/>
      <c r="AA23" s="270"/>
    </row>
    <row r="24" spans="1:27" ht="18" customHeight="1">
      <c r="A24" s="410" t="s">
        <v>18</v>
      </c>
    </row>
    <row r="25" spans="1:27" ht="18" customHeight="1">
      <c r="B25" s="410" t="s">
        <v>11</v>
      </c>
      <c r="E25" s="547" t="str">
        <f>cst_wskakunin_kanri1_NAME</f>
        <v>川口　賢二</v>
      </c>
      <c r="F25" s="548"/>
      <c r="G25" s="548"/>
      <c r="H25" s="548"/>
      <c r="I25" s="548"/>
      <c r="J25" s="548"/>
      <c r="K25" s="548"/>
      <c r="L25" s="548"/>
      <c r="M25" s="548"/>
      <c r="N25" s="548"/>
      <c r="O25" s="548"/>
      <c r="P25" s="548"/>
      <c r="Q25" s="548"/>
      <c r="R25" s="548"/>
      <c r="S25" s="548"/>
      <c r="T25" s="548"/>
      <c r="U25" s="548"/>
      <c r="V25" s="548"/>
      <c r="W25" s="548"/>
      <c r="X25" s="548"/>
      <c r="Y25" s="548"/>
      <c r="Z25" s="548"/>
      <c r="AA25" s="548"/>
    </row>
    <row r="26" spans="1:27" ht="18" customHeight="1">
      <c r="B26" s="410" t="s">
        <v>16</v>
      </c>
    </row>
    <row r="27" spans="1:27" ht="18" customHeight="1">
      <c r="E27" s="547" t="str">
        <f>cst_wskakunin_kanri1_JIMU_NAME</f>
        <v>株式会社山田工務店　一級建築士事務所</v>
      </c>
      <c r="F27" s="548"/>
      <c r="G27" s="548"/>
      <c r="H27" s="548"/>
      <c r="I27" s="548"/>
      <c r="J27" s="548"/>
      <c r="K27" s="548"/>
      <c r="L27" s="548"/>
      <c r="M27" s="548"/>
      <c r="N27" s="548"/>
      <c r="O27" s="548"/>
      <c r="P27" s="548"/>
      <c r="Q27" s="548"/>
      <c r="R27" s="548"/>
      <c r="S27" s="548"/>
      <c r="T27" s="548"/>
      <c r="U27" s="548"/>
      <c r="V27" s="548"/>
      <c r="W27" s="548"/>
      <c r="X27" s="548"/>
      <c r="Y27" s="548"/>
      <c r="Z27" s="548"/>
      <c r="AA27" s="548"/>
    </row>
    <row r="28" spans="1:27" ht="18" customHeight="1">
      <c r="B28" s="410" t="s">
        <v>12</v>
      </c>
      <c r="E28" s="547" t="str">
        <f>cst_wskakunin_kanri1_ZIP</f>
        <v>425-0074</v>
      </c>
      <c r="F28" s="548"/>
      <c r="G28" s="548"/>
      <c r="H28" s="548"/>
      <c r="I28" s="548"/>
      <c r="J28" s="548"/>
    </row>
    <row r="29" spans="1:27" ht="18" customHeight="1">
      <c r="B29" s="410" t="s">
        <v>17</v>
      </c>
      <c r="E29" s="547" t="str">
        <f>cst_wskakunin_kanri1__address</f>
        <v>静岡県焼津市柳新屋648-2</v>
      </c>
      <c r="F29" s="557"/>
      <c r="G29" s="557"/>
      <c r="H29" s="557"/>
      <c r="I29" s="557"/>
      <c r="J29" s="557"/>
      <c r="K29" s="557"/>
      <c r="L29" s="557"/>
      <c r="M29" s="557"/>
      <c r="N29" s="557"/>
      <c r="O29" s="557"/>
      <c r="P29" s="557"/>
      <c r="Q29" s="557"/>
      <c r="R29" s="557"/>
      <c r="S29" s="557"/>
      <c r="T29" s="557"/>
      <c r="U29" s="557"/>
      <c r="V29" s="557"/>
      <c r="W29" s="557"/>
      <c r="X29" s="557"/>
      <c r="Y29" s="557"/>
      <c r="Z29" s="557"/>
      <c r="AA29" s="548"/>
    </row>
    <row r="30" spans="1:27" ht="18" customHeight="1">
      <c r="A30" s="270"/>
      <c r="B30" s="270" t="s">
        <v>14</v>
      </c>
      <c r="C30" s="270"/>
      <c r="D30" s="270"/>
      <c r="E30" s="558" t="str">
        <f>cst_wskakunin_kanri1_TEL</f>
        <v>054-621-5656</v>
      </c>
      <c r="F30" s="559"/>
      <c r="G30" s="559"/>
      <c r="H30" s="559"/>
      <c r="I30" s="559"/>
      <c r="J30" s="559"/>
      <c r="K30" s="559"/>
      <c r="L30" s="559"/>
      <c r="M30" s="270"/>
      <c r="N30" s="270"/>
      <c r="O30" s="270"/>
      <c r="P30" s="270"/>
      <c r="Q30" s="270"/>
      <c r="R30" s="270"/>
      <c r="S30" s="270"/>
      <c r="T30" s="270"/>
      <c r="U30" s="270"/>
      <c r="V30" s="270"/>
      <c r="W30" s="270"/>
      <c r="X30" s="270"/>
      <c r="Y30" s="270"/>
      <c r="Z30" s="270"/>
      <c r="AA30" s="270"/>
    </row>
    <row r="31" spans="1:27" ht="18" customHeight="1">
      <c r="A31" s="410" t="s">
        <v>19</v>
      </c>
      <c r="E31" s="410" t="s">
        <v>491</v>
      </c>
    </row>
    <row r="32" spans="1:27" ht="18" customHeight="1">
      <c r="B32" s="410" t="s">
        <v>20</v>
      </c>
      <c r="I32" s="271" t="str">
        <f>IF(COUNTIF(shinsei_ISSUE_NO,"*第*")&gt;0,"","第")</f>
        <v>第</v>
      </c>
      <c r="J32" s="562" t="str">
        <f>cst_shinsei_ISSUE_NO</f>
        <v/>
      </c>
      <c r="K32" s="563"/>
      <c r="L32" s="563"/>
      <c r="M32" s="563"/>
      <c r="N32" s="563"/>
      <c r="O32" s="563"/>
      <c r="P32" s="563"/>
      <c r="Q32" s="410" t="str">
        <f>IF(COUNTIF(shinsei_ISSUE_NO,"*号*")&gt;0,"","号")</f>
        <v>号</v>
      </c>
    </row>
    <row r="33" spans="1:27" ht="18" customHeight="1">
      <c r="B33" s="410" t="s">
        <v>21</v>
      </c>
      <c r="H33" s="579" t="str">
        <f>cst_shinsei_ISSUE_DATE</f>
        <v/>
      </c>
      <c r="I33" s="579"/>
      <c r="J33" s="579"/>
      <c r="K33" s="410" t="s">
        <v>464</v>
      </c>
      <c r="L33" s="411" t="str">
        <f>cst_shinsei_ISSUE_DATE</f>
        <v/>
      </c>
      <c r="M33" s="410" t="s">
        <v>1</v>
      </c>
      <c r="N33" s="412" t="str">
        <f>cst_shinsei_ISSUE_DATE</f>
        <v/>
      </c>
      <c r="O33" s="410" t="s">
        <v>465</v>
      </c>
    </row>
    <row r="34" spans="1:27" ht="18" customHeight="1">
      <c r="A34" s="270"/>
      <c r="B34" s="270" t="s">
        <v>22</v>
      </c>
      <c r="C34" s="270"/>
      <c r="D34" s="270"/>
      <c r="E34" s="270"/>
      <c r="F34" s="270"/>
      <c r="G34" s="270"/>
      <c r="H34" s="270"/>
      <c r="I34" s="564" t="str">
        <f>cst_shinsei_ISSUE_KOUFU_NAME</f>
        <v/>
      </c>
      <c r="J34" s="565"/>
      <c r="K34" s="565"/>
      <c r="L34" s="565"/>
      <c r="M34" s="565"/>
      <c r="N34" s="565"/>
      <c r="O34" s="565"/>
      <c r="P34" s="565"/>
      <c r="Q34" s="565"/>
      <c r="R34" s="565"/>
      <c r="S34" s="565"/>
      <c r="T34" s="565"/>
      <c r="U34" s="565"/>
      <c r="V34" s="565"/>
      <c r="W34" s="565"/>
      <c r="X34" s="565"/>
      <c r="Y34" s="565"/>
      <c r="Z34" s="565"/>
      <c r="AA34" s="270"/>
    </row>
    <row r="35" spans="1:27" ht="18" customHeight="1">
      <c r="A35" s="410" t="s">
        <v>23</v>
      </c>
    </row>
    <row r="36" spans="1:27" ht="18" customHeight="1">
      <c r="B36" s="410" t="s">
        <v>11</v>
      </c>
      <c r="E36" s="560"/>
      <c r="F36" s="561"/>
      <c r="G36" s="561"/>
      <c r="H36" s="561"/>
      <c r="I36" s="561"/>
      <c r="J36" s="561"/>
      <c r="K36" s="561"/>
      <c r="L36" s="561"/>
      <c r="M36" s="561"/>
      <c r="N36" s="561"/>
      <c r="O36" s="561"/>
      <c r="P36" s="561"/>
      <c r="Q36" s="561"/>
      <c r="R36" s="561"/>
      <c r="S36" s="561"/>
      <c r="T36" s="561"/>
      <c r="U36" s="561"/>
      <c r="V36" s="561"/>
      <c r="W36" s="561"/>
      <c r="X36" s="561"/>
    </row>
    <row r="37" spans="1:27" ht="18" customHeight="1">
      <c r="B37" s="410" t="s">
        <v>24</v>
      </c>
      <c r="E37" s="560"/>
      <c r="F37" s="561"/>
      <c r="G37" s="561"/>
      <c r="H37" s="561"/>
      <c r="I37" s="561"/>
      <c r="J37" s="561"/>
      <c r="K37" s="561"/>
      <c r="L37" s="561"/>
      <c r="M37" s="561"/>
      <c r="N37" s="561"/>
      <c r="O37" s="561"/>
      <c r="P37" s="561"/>
      <c r="Q37" s="561"/>
      <c r="R37" s="561"/>
      <c r="S37" s="561"/>
      <c r="T37" s="561"/>
      <c r="U37" s="561"/>
      <c r="V37" s="561"/>
      <c r="W37" s="561"/>
      <c r="X37" s="561"/>
    </row>
    <row r="38" spans="1:27" ht="18" customHeight="1">
      <c r="B38" s="410" t="s">
        <v>12</v>
      </c>
      <c r="E38" s="560"/>
      <c r="F38" s="561"/>
      <c r="G38" s="561"/>
      <c r="H38" s="561"/>
      <c r="I38" s="561"/>
      <c r="J38" s="561"/>
    </row>
    <row r="39" spans="1:27" ht="18" customHeight="1">
      <c r="B39" s="410" t="s">
        <v>17</v>
      </c>
      <c r="E39" s="560"/>
      <c r="F39" s="561"/>
      <c r="G39" s="561"/>
      <c r="H39" s="561"/>
      <c r="I39" s="561"/>
      <c r="J39" s="561"/>
      <c r="K39" s="561"/>
      <c r="L39" s="561"/>
      <c r="M39" s="561"/>
      <c r="N39" s="561"/>
      <c r="O39" s="561"/>
      <c r="P39" s="561"/>
      <c r="Q39" s="561"/>
      <c r="R39" s="561"/>
      <c r="S39" s="561"/>
      <c r="T39" s="561"/>
      <c r="U39" s="561"/>
      <c r="V39" s="561"/>
      <c r="W39" s="561"/>
      <c r="X39" s="561"/>
      <c r="Y39" s="561"/>
    </row>
    <row r="40" spans="1:27" ht="18" customHeight="1">
      <c r="A40" s="270"/>
      <c r="B40" s="270" t="s">
        <v>14</v>
      </c>
      <c r="C40" s="270"/>
      <c r="D40" s="270"/>
      <c r="E40" s="568"/>
      <c r="F40" s="569"/>
      <c r="G40" s="569"/>
      <c r="H40" s="569"/>
      <c r="I40" s="569"/>
      <c r="J40" s="569"/>
      <c r="K40" s="569"/>
      <c r="L40" s="569"/>
      <c r="M40" s="270"/>
      <c r="N40" s="270"/>
      <c r="O40" s="270"/>
      <c r="P40" s="270"/>
      <c r="Q40" s="270"/>
      <c r="R40" s="270"/>
      <c r="S40" s="270"/>
      <c r="T40" s="270"/>
      <c r="U40" s="270"/>
      <c r="V40" s="270"/>
      <c r="W40" s="270"/>
      <c r="X40" s="270"/>
      <c r="Y40" s="270"/>
      <c r="Z40" s="270"/>
      <c r="AA40" s="270"/>
    </row>
    <row r="41" spans="1:27" ht="18" customHeight="1">
      <c r="A41" s="410" t="s">
        <v>25</v>
      </c>
    </row>
    <row r="42" spans="1:27" ht="15.75" customHeight="1"/>
    <row r="43" spans="1:27" ht="15.75" customHeight="1"/>
    <row r="44" spans="1:27">
      <c r="A44" s="570" t="s">
        <v>26</v>
      </c>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row>
    <row r="45" spans="1:27" ht="16.5" customHeight="1">
      <c r="A45" s="410" t="s">
        <v>3046</v>
      </c>
    </row>
    <row r="46" spans="1:27" ht="16.5" customHeight="1">
      <c r="B46" s="410" t="s">
        <v>3047</v>
      </c>
      <c r="K46" s="580" t="str">
        <f>cst_wskakunin_KOUJI_TYAKUSYU_YOTEI_DATE</f>
        <v/>
      </c>
      <c r="L46" s="580"/>
      <c r="M46" s="580"/>
      <c r="N46" s="410" t="s">
        <v>464</v>
      </c>
      <c r="O46" s="413" t="str">
        <f>cst_wskakunin_KOUJI_TYAKUSYU_YOTEI_DATE</f>
        <v/>
      </c>
      <c r="P46" s="410" t="s">
        <v>1</v>
      </c>
      <c r="Q46" s="414" t="str">
        <f>cst_wskakunin_KOUJI_TYAKUSYU_YOTEI_DATE</f>
        <v/>
      </c>
      <c r="R46" s="410" t="s">
        <v>465</v>
      </c>
    </row>
    <row r="47" spans="1:27" ht="16.5" customHeight="1">
      <c r="A47" s="270"/>
      <c r="B47" s="270" t="s">
        <v>3048</v>
      </c>
      <c r="C47" s="270"/>
      <c r="D47" s="270"/>
      <c r="E47" s="270"/>
      <c r="F47" s="270"/>
      <c r="G47" s="270"/>
      <c r="H47" s="270"/>
      <c r="I47" s="270"/>
      <c r="J47" s="270"/>
      <c r="K47" s="581">
        <f>cst_wskakunin_KOUJI_KANRYOU_YOTEI_DATE</f>
        <v>45088</v>
      </c>
      <c r="L47" s="581"/>
      <c r="M47" s="581"/>
      <c r="N47" s="270" t="s">
        <v>464</v>
      </c>
      <c r="O47" s="415">
        <f>cst_wskakunin_KOUJI_KANRYOU_YOTEI_DATE</f>
        <v>45088</v>
      </c>
      <c r="P47" s="270" t="s">
        <v>1</v>
      </c>
      <c r="Q47" s="416">
        <f>cst_wskakunin_KOUJI_KANRYOU_YOTEI_DATE</f>
        <v>45088</v>
      </c>
      <c r="R47" s="270" t="s">
        <v>465</v>
      </c>
      <c r="S47" s="270"/>
      <c r="T47" s="270"/>
      <c r="U47" s="270"/>
      <c r="V47" s="270"/>
      <c r="W47" s="270"/>
      <c r="X47" s="270"/>
      <c r="Y47" s="270"/>
      <c r="Z47" s="270"/>
      <c r="AA47" s="270"/>
    </row>
    <row r="48" spans="1:27" ht="16.5" customHeight="1">
      <c r="A48" s="410" t="s">
        <v>3049</v>
      </c>
    </row>
    <row r="49" spans="1:42" ht="16.5" customHeight="1">
      <c r="B49" s="410" t="s">
        <v>3050</v>
      </c>
      <c r="I49" s="407" t="s">
        <v>505</v>
      </c>
      <c r="J49" s="410" t="s">
        <v>27</v>
      </c>
      <c r="M49" s="407" t="s">
        <v>505</v>
      </c>
      <c r="N49" s="410" t="s">
        <v>28</v>
      </c>
      <c r="T49" s="407" t="s">
        <v>505</v>
      </c>
      <c r="U49" s="410" t="s">
        <v>29</v>
      </c>
    </row>
    <row r="50" spans="1:42" ht="16.5" customHeight="1">
      <c r="I50" s="407" t="s">
        <v>505</v>
      </c>
      <c r="J50" s="410" t="s">
        <v>30</v>
      </c>
      <c r="M50" s="407" t="s">
        <v>505</v>
      </c>
      <c r="N50" s="410" t="s">
        <v>31</v>
      </c>
      <c r="T50" s="407" t="s">
        <v>505</v>
      </c>
      <c r="U50" s="410" t="s">
        <v>32</v>
      </c>
    </row>
    <row r="51" spans="1:42" ht="15" customHeight="1">
      <c r="B51" s="410" t="s">
        <v>3051</v>
      </c>
      <c r="K51" s="407" t="s">
        <v>505</v>
      </c>
      <c r="L51" s="410" t="s">
        <v>3052</v>
      </c>
      <c r="R51" s="407" t="s">
        <v>505</v>
      </c>
      <c r="S51" s="410" t="s">
        <v>3053</v>
      </c>
    </row>
    <row r="52" spans="1:42" ht="15" customHeight="1">
      <c r="K52" s="407" t="s">
        <v>505</v>
      </c>
      <c r="L52" s="410" t="s">
        <v>3054</v>
      </c>
    </row>
    <row r="53" spans="1:42" ht="15" customHeight="1">
      <c r="A53" s="270"/>
      <c r="B53" s="270"/>
      <c r="C53" s="270"/>
      <c r="D53" s="270"/>
      <c r="E53" s="270"/>
      <c r="F53" s="270"/>
      <c r="G53" s="270"/>
      <c r="H53" s="270"/>
      <c r="I53" s="270"/>
      <c r="J53" s="270"/>
      <c r="K53" s="408" t="s">
        <v>505</v>
      </c>
      <c r="L53" s="270" t="s">
        <v>3055</v>
      </c>
      <c r="M53" s="270"/>
      <c r="N53" s="270"/>
      <c r="O53" s="270"/>
      <c r="P53" s="270"/>
      <c r="Q53" s="270"/>
      <c r="R53" s="270"/>
      <c r="S53" s="270"/>
      <c r="T53" s="408" t="s">
        <v>505</v>
      </c>
      <c r="U53" s="270" t="s">
        <v>3056</v>
      </c>
      <c r="V53" s="270"/>
      <c r="W53" s="270"/>
      <c r="X53" s="270"/>
      <c r="Y53" s="270"/>
      <c r="Z53" s="270"/>
      <c r="AA53" s="270"/>
    </row>
    <row r="54" spans="1:42" ht="16.5" customHeight="1">
      <c r="A54" s="410" t="s">
        <v>3057</v>
      </c>
    </row>
    <row r="55" spans="1:42" ht="16.5" customHeight="1">
      <c r="B55" s="410" t="s">
        <v>33</v>
      </c>
      <c r="G55" s="571" t="str">
        <f>cst_wskakunin_BUILD__address</f>
        <v>静岡県静岡市葵区平和二丁目215-8</v>
      </c>
      <c r="H55" s="571"/>
      <c r="I55" s="571"/>
      <c r="J55" s="571"/>
      <c r="K55" s="571"/>
      <c r="L55" s="571"/>
      <c r="M55" s="571"/>
      <c r="N55" s="571"/>
      <c r="O55" s="571"/>
      <c r="P55" s="571"/>
      <c r="Q55" s="571"/>
      <c r="R55" s="571"/>
      <c r="S55" s="571"/>
      <c r="T55" s="571"/>
      <c r="U55" s="571"/>
      <c r="V55" s="571"/>
      <c r="W55" s="571"/>
      <c r="X55" s="571"/>
      <c r="Y55" s="571"/>
      <c r="Z55" s="571"/>
      <c r="AA55" s="571"/>
      <c r="AB55" s="571"/>
    </row>
    <row r="56" spans="1:42" ht="16.5" customHeight="1">
      <c r="G56" s="572"/>
      <c r="H56" s="572"/>
      <c r="I56" s="572"/>
      <c r="J56" s="572"/>
      <c r="K56" s="572"/>
      <c r="L56" s="572"/>
      <c r="M56" s="572"/>
      <c r="N56" s="572"/>
      <c r="O56" s="572"/>
      <c r="P56" s="572"/>
      <c r="Q56" s="572"/>
      <c r="R56" s="572"/>
      <c r="S56" s="572"/>
      <c r="T56" s="572"/>
      <c r="U56" s="572"/>
      <c r="V56" s="572"/>
      <c r="W56" s="572"/>
      <c r="X56" s="572"/>
      <c r="Y56" s="572"/>
      <c r="Z56" s="572"/>
      <c r="AA56" s="572"/>
      <c r="AB56" s="572"/>
    </row>
    <row r="57" spans="1:42" ht="16.5" customHeight="1">
      <c r="G57" s="572"/>
      <c r="H57" s="572"/>
      <c r="I57" s="572"/>
      <c r="J57" s="572"/>
      <c r="K57" s="572"/>
      <c r="L57" s="572"/>
      <c r="M57" s="572"/>
      <c r="N57" s="572"/>
      <c r="O57" s="572"/>
      <c r="P57" s="572"/>
      <c r="Q57" s="572"/>
      <c r="R57" s="572"/>
      <c r="S57" s="572"/>
      <c r="T57" s="572"/>
      <c r="U57" s="572"/>
      <c r="V57" s="572"/>
      <c r="W57" s="572"/>
      <c r="X57" s="572"/>
      <c r="Y57" s="572"/>
      <c r="Z57" s="572"/>
      <c r="AA57" s="572"/>
      <c r="AB57" s="572"/>
    </row>
    <row r="58" spans="1:42" ht="16.5" customHeight="1">
      <c r="B58" s="410" t="s">
        <v>34</v>
      </c>
      <c r="G58" s="272" t="str">
        <f>IF(cst_wskakunin_KUIKI_SIGAIKA="■","☑","□")</f>
        <v>□</v>
      </c>
      <c r="H58" s="410" t="s">
        <v>35</v>
      </c>
      <c r="N58" s="272" t="str">
        <f>IF(cst_wskakunin_KUIKI_TYOSEI="■","☑","□")</f>
        <v>□</v>
      </c>
      <c r="O58" s="410" t="s">
        <v>36</v>
      </c>
    </row>
    <row r="59" spans="1:42" ht="16.5" customHeight="1">
      <c r="G59" s="272" t="str">
        <f>IF(cst_wskakunin_KUIKI_HISETTEI="■","☑","□")</f>
        <v>□</v>
      </c>
      <c r="H59" s="410" t="s">
        <v>37</v>
      </c>
      <c r="R59" s="272" t="str">
        <f>IF(cst_wskakunin_KUIKI_JYUN_TOSHI="■","☑","□")</f>
        <v>□</v>
      </c>
      <c r="S59" s="410" t="s">
        <v>38</v>
      </c>
    </row>
    <row r="60" spans="1:42" ht="16.5" customHeight="1">
      <c r="A60" s="270"/>
      <c r="B60" s="270"/>
      <c r="C60" s="270"/>
      <c r="D60" s="270"/>
      <c r="E60" s="270"/>
      <c r="F60" s="270"/>
      <c r="G60" s="273" t="str">
        <f>IF(cst_wskakunin_KUIKI_KUIKIGAI="■","☑","□")</f>
        <v>□</v>
      </c>
      <c r="H60" s="270" t="s">
        <v>39</v>
      </c>
      <c r="I60" s="270"/>
      <c r="J60" s="270"/>
      <c r="K60" s="270"/>
      <c r="L60" s="270"/>
      <c r="M60" s="270"/>
      <c r="N60" s="270"/>
      <c r="O60" s="270"/>
      <c r="P60" s="270"/>
      <c r="Q60" s="270"/>
      <c r="R60" s="270"/>
      <c r="S60" s="270"/>
      <c r="T60" s="270"/>
      <c r="U60" s="270"/>
      <c r="V60" s="270"/>
      <c r="W60" s="270"/>
      <c r="X60" s="270"/>
      <c r="Y60" s="270"/>
      <c r="Z60" s="270"/>
      <c r="AA60" s="270"/>
      <c r="AF60" s="410" t="s">
        <v>3088</v>
      </c>
    </row>
    <row r="61" spans="1:42" ht="16.5" customHeight="1">
      <c r="A61" s="274" t="s">
        <v>40</v>
      </c>
      <c r="B61" s="274"/>
      <c r="C61" s="274"/>
      <c r="D61" s="274"/>
      <c r="E61" s="274"/>
      <c r="F61" s="275" t="str">
        <f>IF(cst_wskakunin_KOUJI_SINTIKU_box="■","☑","□")</f>
        <v>☑</v>
      </c>
      <c r="G61" s="274" t="s">
        <v>41</v>
      </c>
      <c r="H61" s="274"/>
      <c r="I61" s="274"/>
      <c r="J61" s="274"/>
      <c r="K61" s="275" t="str">
        <f>IF(cst_wskakunin_KOUJI_ZOUTIKU_box="■","☑","□")</f>
        <v>□</v>
      </c>
      <c r="L61" s="274" t="s">
        <v>42</v>
      </c>
      <c r="M61" s="274"/>
      <c r="N61" s="274"/>
      <c r="O61" s="274"/>
      <c r="P61" s="275" t="str">
        <f>IF(cst_wskakunin_KOUJI_KAITIKU_box="■","☑","□")</f>
        <v>□</v>
      </c>
      <c r="Q61" s="274" t="s">
        <v>43</v>
      </c>
      <c r="R61" s="274"/>
      <c r="S61" s="274"/>
      <c r="T61" s="274"/>
      <c r="U61" s="275" t="str">
        <f>IF(cst_wskakunin_KOUJI_ITEN_box="■","☑","□")</f>
        <v>□</v>
      </c>
      <c r="V61" s="274" t="s">
        <v>44</v>
      </c>
      <c r="W61" s="274"/>
      <c r="X61" s="274"/>
      <c r="Y61" s="274"/>
      <c r="Z61" s="274"/>
      <c r="AA61" s="274"/>
      <c r="AF61" s="546" t="s">
        <v>2874</v>
      </c>
      <c r="AG61" s="546"/>
      <c r="AH61" s="546"/>
      <c r="AI61" s="546"/>
      <c r="AJ61" s="546"/>
      <c r="AK61" s="546"/>
      <c r="AL61" s="546"/>
      <c r="AM61" s="546"/>
      <c r="AN61" s="546"/>
      <c r="AO61" s="546"/>
      <c r="AP61" s="417" t="s">
        <v>2875</v>
      </c>
    </row>
    <row r="62" spans="1:42" ht="16.5" customHeight="1">
      <c r="A62" s="410" t="s">
        <v>45</v>
      </c>
      <c r="G62" s="410" t="s">
        <v>46</v>
      </c>
      <c r="N62" s="271" t="s">
        <v>3</v>
      </c>
      <c r="O62" s="573"/>
      <c r="P62" s="574"/>
      <c r="Q62" s="410" t="s">
        <v>4</v>
      </c>
      <c r="R62" s="575" t="str">
        <f>居住専用建築物テキスト</f>
        <v/>
      </c>
      <c r="S62" s="576"/>
      <c r="T62" s="576"/>
      <c r="U62" s="576"/>
      <c r="V62" s="576"/>
      <c r="W62" s="576"/>
      <c r="X62" s="576"/>
      <c r="Y62" s="576"/>
      <c r="Z62" s="576"/>
      <c r="AA62" s="576"/>
      <c r="AF62" s="545" t="s">
        <v>2876</v>
      </c>
      <c r="AG62" s="545"/>
      <c r="AH62" s="545"/>
      <c r="AI62" s="545"/>
      <c r="AJ62" s="545"/>
      <c r="AK62" s="545"/>
      <c r="AL62" s="545"/>
      <c r="AM62" s="545"/>
      <c r="AN62" s="545"/>
      <c r="AO62" s="545"/>
      <c r="AP62" s="418" t="s">
        <v>237</v>
      </c>
    </row>
    <row r="63" spans="1:42" ht="16.5" customHeight="1">
      <c r="G63" s="410" t="s">
        <v>47</v>
      </c>
      <c r="N63" s="271" t="s">
        <v>3</v>
      </c>
      <c r="O63" s="577"/>
      <c r="P63" s="578"/>
      <c r="Q63" s="410" t="s">
        <v>4</v>
      </c>
      <c r="R63" s="560" t="str">
        <f>居住産業併用建築物テキスト</f>
        <v/>
      </c>
      <c r="S63" s="561"/>
      <c r="T63" s="561"/>
      <c r="U63" s="561"/>
      <c r="V63" s="561"/>
      <c r="W63" s="561"/>
      <c r="X63" s="561"/>
      <c r="Y63" s="561"/>
      <c r="Z63" s="561"/>
      <c r="AA63" s="561"/>
      <c r="AF63" s="545" t="s">
        <v>2877</v>
      </c>
      <c r="AG63" s="545"/>
      <c r="AH63" s="545"/>
      <c r="AI63" s="545"/>
      <c r="AJ63" s="545"/>
      <c r="AK63" s="545"/>
      <c r="AL63" s="545"/>
      <c r="AM63" s="545"/>
      <c r="AN63" s="545"/>
      <c r="AO63" s="545"/>
      <c r="AP63" s="418" t="s">
        <v>248</v>
      </c>
    </row>
    <row r="64" spans="1:42" ht="16.5" customHeight="1">
      <c r="A64" s="270"/>
      <c r="B64" s="270"/>
      <c r="C64" s="270"/>
      <c r="D64" s="270"/>
      <c r="E64" s="270"/>
      <c r="F64" s="270"/>
      <c r="G64" s="270" t="s">
        <v>48</v>
      </c>
      <c r="H64" s="270"/>
      <c r="I64" s="270"/>
      <c r="J64" s="270"/>
      <c r="K64" s="270"/>
      <c r="L64" s="270"/>
      <c r="M64" s="270"/>
      <c r="N64" s="276" t="s">
        <v>3</v>
      </c>
      <c r="O64" s="566"/>
      <c r="P64" s="567"/>
      <c r="Q64" s="270" t="s">
        <v>4</v>
      </c>
      <c r="R64" s="568" t="str">
        <f>産業専用建築物テキスト</f>
        <v/>
      </c>
      <c r="S64" s="569"/>
      <c r="T64" s="569"/>
      <c r="U64" s="569"/>
      <c r="V64" s="569"/>
      <c r="W64" s="569"/>
      <c r="X64" s="569"/>
      <c r="Y64" s="569"/>
      <c r="Z64" s="569"/>
      <c r="AA64" s="569"/>
      <c r="AF64" s="545" t="s">
        <v>2878</v>
      </c>
      <c r="AG64" s="545"/>
      <c r="AH64" s="545"/>
      <c r="AI64" s="545"/>
      <c r="AJ64" s="545"/>
      <c r="AK64" s="545"/>
      <c r="AL64" s="545"/>
      <c r="AM64" s="545"/>
      <c r="AN64" s="545"/>
      <c r="AO64" s="545"/>
      <c r="AP64" s="418" t="s">
        <v>259</v>
      </c>
    </row>
    <row r="65" spans="1:42" ht="16.5" customHeight="1">
      <c r="A65" s="410" t="s">
        <v>49</v>
      </c>
      <c r="AF65" s="545" t="s">
        <v>2879</v>
      </c>
      <c r="AG65" s="545"/>
      <c r="AH65" s="545"/>
      <c r="AI65" s="545"/>
      <c r="AJ65" s="545"/>
      <c r="AK65" s="545"/>
      <c r="AL65" s="545"/>
      <c r="AM65" s="545"/>
      <c r="AN65" s="545"/>
      <c r="AO65" s="545"/>
      <c r="AP65" s="418" t="s">
        <v>268</v>
      </c>
    </row>
    <row r="66" spans="1:42" ht="16.5" customHeight="1">
      <c r="B66" s="410" t="s">
        <v>50</v>
      </c>
      <c r="F66" s="271"/>
      <c r="H66" s="271" t="s">
        <v>3</v>
      </c>
      <c r="I66" s="582" t="str">
        <f>IF(AND(I92="",I94=""),"",1)</f>
        <v/>
      </c>
      <c r="J66" s="583"/>
      <c r="K66" s="583"/>
      <c r="L66" s="583"/>
      <c r="M66" s="583"/>
      <c r="N66" s="410" t="s">
        <v>51</v>
      </c>
      <c r="O66" s="271" t="s">
        <v>3</v>
      </c>
      <c r="P66" s="584" t="str">
        <f>IF(AND(P92="",P94=""),"",2)</f>
        <v/>
      </c>
      <c r="Q66" s="583"/>
      <c r="R66" s="583"/>
      <c r="S66" s="583"/>
      <c r="T66" s="583"/>
      <c r="U66" s="410" t="s">
        <v>51</v>
      </c>
      <c r="V66" s="271" t="s">
        <v>3</v>
      </c>
      <c r="W66" s="584" t="str">
        <f>IF(AND(W92="",W94=""),"",3)</f>
        <v/>
      </c>
      <c r="X66" s="583"/>
      <c r="Y66" s="583"/>
      <c r="Z66" s="583"/>
      <c r="AA66" s="583"/>
      <c r="AB66" s="410" t="s">
        <v>51</v>
      </c>
      <c r="AF66" s="545" t="s">
        <v>2880</v>
      </c>
      <c r="AG66" s="545"/>
      <c r="AH66" s="545"/>
      <c r="AI66" s="545"/>
      <c r="AJ66" s="545"/>
      <c r="AK66" s="545"/>
      <c r="AL66" s="545"/>
      <c r="AM66" s="545"/>
      <c r="AN66" s="545"/>
      <c r="AO66" s="545"/>
      <c r="AP66" s="418" t="s">
        <v>278</v>
      </c>
    </row>
    <row r="67" spans="1:42" ht="16.5" customHeight="1">
      <c r="B67" s="410" t="s">
        <v>52</v>
      </c>
      <c r="H67" s="407" t="s">
        <v>505</v>
      </c>
      <c r="I67" s="410" t="s">
        <v>53</v>
      </c>
      <c r="J67" s="410" t="s">
        <v>54</v>
      </c>
      <c r="O67" s="407" t="s">
        <v>505</v>
      </c>
      <c r="P67" s="410" t="s">
        <v>53</v>
      </c>
      <c r="Q67" s="410" t="s">
        <v>54</v>
      </c>
      <c r="V67" s="407" t="s">
        <v>505</v>
      </c>
      <c r="W67" s="410" t="s">
        <v>53</v>
      </c>
      <c r="X67" s="410" t="s">
        <v>54</v>
      </c>
    </row>
    <row r="68" spans="1:42" ht="15" customHeight="1">
      <c r="H68" s="407" t="s">
        <v>505</v>
      </c>
      <c r="I68" s="410" t="s">
        <v>55</v>
      </c>
      <c r="J68" s="410" t="s">
        <v>56</v>
      </c>
      <c r="O68" s="407" t="s">
        <v>505</v>
      </c>
      <c r="P68" s="410" t="s">
        <v>55</v>
      </c>
      <c r="Q68" s="410" t="s">
        <v>56</v>
      </c>
      <c r="V68" s="407" t="s">
        <v>505</v>
      </c>
      <c r="W68" s="410" t="s">
        <v>55</v>
      </c>
      <c r="X68" s="410" t="s">
        <v>56</v>
      </c>
      <c r="AF68" s="410" t="s">
        <v>3089</v>
      </c>
    </row>
    <row r="69" spans="1:42" ht="15" customHeight="1">
      <c r="J69" s="410" t="s">
        <v>57</v>
      </c>
      <c r="Q69" s="410" t="s">
        <v>57</v>
      </c>
      <c r="X69" s="410" t="s">
        <v>57</v>
      </c>
      <c r="AF69" s="546" t="s">
        <v>2874</v>
      </c>
      <c r="AG69" s="546"/>
      <c r="AH69" s="546"/>
      <c r="AI69" s="546"/>
      <c r="AJ69" s="546"/>
      <c r="AK69" s="546"/>
      <c r="AL69" s="546"/>
      <c r="AM69" s="546"/>
      <c r="AN69" s="546"/>
      <c r="AO69" s="546"/>
      <c r="AP69" s="417" t="s">
        <v>2875</v>
      </c>
    </row>
    <row r="70" spans="1:42" ht="15" customHeight="1">
      <c r="H70" s="407" t="s">
        <v>505</v>
      </c>
      <c r="I70" s="410" t="s">
        <v>58</v>
      </c>
      <c r="J70" s="410" t="s">
        <v>59</v>
      </c>
      <c r="O70" s="407" t="s">
        <v>505</v>
      </c>
      <c r="P70" s="410" t="s">
        <v>58</v>
      </c>
      <c r="Q70" s="410" t="s">
        <v>59</v>
      </c>
      <c r="V70" s="407" t="s">
        <v>505</v>
      </c>
      <c r="W70" s="410" t="s">
        <v>58</v>
      </c>
      <c r="X70" s="410" t="s">
        <v>59</v>
      </c>
      <c r="AF70" s="534" t="s">
        <v>2881</v>
      </c>
      <c r="AG70" s="534"/>
      <c r="AH70" s="534"/>
      <c r="AI70" s="534" t="s">
        <v>2882</v>
      </c>
      <c r="AJ70" s="534"/>
      <c r="AK70" s="534"/>
      <c r="AL70" s="534"/>
      <c r="AM70" s="534"/>
      <c r="AN70" s="534"/>
      <c r="AO70" s="534"/>
      <c r="AP70" s="418" t="s">
        <v>3090</v>
      </c>
    </row>
    <row r="71" spans="1:42" ht="15" customHeight="1">
      <c r="H71" s="407" t="s">
        <v>505</v>
      </c>
      <c r="I71" s="410" t="s">
        <v>60</v>
      </c>
      <c r="J71" s="410" t="s">
        <v>61</v>
      </c>
      <c r="O71" s="407" t="s">
        <v>505</v>
      </c>
      <c r="P71" s="410" t="s">
        <v>60</v>
      </c>
      <c r="Q71" s="410" t="s">
        <v>61</v>
      </c>
      <c r="V71" s="407" t="s">
        <v>505</v>
      </c>
      <c r="W71" s="410" t="s">
        <v>60</v>
      </c>
      <c r="X71" s="410" t="s">
        <v>61</v>
      </c>
      <c r="AF71" s="541" t="s">
        <v>2883</v>
      </c>
      <c r="AG71" s="541"/>
      <c r="AH71" s="541"/>
      <c r="AI71" s="534" t="s">
        <v>2884</v>
      </c>
      <c r="AJ71" s="534"/>
      <c r="AK71" s="534"/>
      <c r="AL71" s="534"/>
      <c r="AM71" s="534"/>
      <c r="AN71" s="534"/>
      <c r="AO71" s="534"/>
      <c r="AP71" s="418" t="s">
        <v>3091</v>
      </c>
    </row>
    <row r="72" spans="1:42" ht="15" customHeight="1">
      <c r="H72" s="407" t="s">
        <v>505</v>
      </c>
      <c r="I72" s="410" t="s">
        <v>62</v>
      </c>
      <c r="J72" s="410" t="s">
        <v>63</v>
      </c>
      <c r="O72" s="407" t="s">
        <v>505</v>
      </c>
      <c r="P72" s="410" t="s">
        <v>62</v>
      </c>
      <c r="Q72" s="410" t="s">
        <v>63</v>
      </c>
      <c r="V72" s="407" t="s">
        <v>505</v>
      </c>
      <c r="W72" s="410" t="s">
        <v>62</v>
      </c>
      <c r="X72" s="410" t="s">
        <v>63</v>
      </c>
      <c r="AF72" s="541"/>
      <c r="AG72" s="541"/>
      <c r="AH72" s="541"/>
      <c r="AI72" s="534" t="s">
        <v>2885</v>
      </c>
      <c r="AJ72" s="534"/>
      <c r="AK72" s="534"/>
      <c r="AL72" s="534"/>
      <c r="AM72" s="534"/>
      <c r="AN72" s="534"/>
      <c r="AO72" s="534"/>
      <c r="AP72" s="418" t="s">
        <v>3092</v>
      </c>
    </row>
    <row r="73" spans="1:42" ht="15" customHeight="1">
      <c r="H73" s="407" t="s">
        <v>505</v>
      </c>
      <c r="I73" s="410" t="s">
        <v>64</v>
      </c>
      <c r="J73" s="410" t="s">
        <v>65</v>
      </c>
      <c r="O73" s="407" t="s">
        <v>505</v>
      </c>
      <c r="P73" s="410" t="s">
        <v>64</v>
      </c>
      <c r="Q73" s="410" t="s">
        <v>65</v>
      </c>
      <c r="V73" s="407" t="s">
        <v>505</v>
      </c>
      <c r="W73" s="410" t="s">
        <v>64</v>
      </c>
      <c r="X73" s="410" t="s">
        <v>65</v>
      </c>
      <c r="AF73" s="528" t="s">
        <v>2886</v>
      </c>
      <c r="AG73" s="528"/>
      <c r="AH73" s="528"/>
      <c r="AI73" s="539" t="s">
        <v>3093</v>
      </c>
      <c r="AJ73" s="539"/>
      <c r="AK73" s="539"/>
      <c r="AL73" s="539"/>
      <c r="AM73" s="539"/>
      <c r="AN73" s="539"/>
      <c r="AO73" s="539"/>
      <c r="AP73" s="523" t="s">
        <v>3094</v>
      </c>
    </row>
    <row r="74" spans="1:42" ht="15" customHeight="1">
      <c r="H74" s="407" t="s">
        <v>505</v>
      </c>
      <c r="I74" s="410" t="s">
        <v>66</v>
      </c>
      <c r="J74" s="410" t="s">
        <v>2</v>
      </c>
      <c r="O74" s="407" t="s">
        <v>505</v>
      </c>
      <c r="P74" s="410" t="s">
        <v>66</v>
      </c>
      <c r="Q74" s="410" t="s">
        <v>2</v>
      </c>
      <c r="V74" s="407" t="s">
        <v>505</v>
      </c>
      <c r="W74" s="410" t="s">
        <v>66</v>
      </c>
      <c r="X74" s="410" t="s">
        <v>2</v>
      </c>
      <c r="AF74" s="528"/>
      <c r="AG74" s="528"/>
      <c r="AH74" s="528"/>
      <c r="AI74" s="539"/>
      <c r="AJ74" s="539"/>
      <c r="AK74" s="539"/>
      <c r="AL74" s="539"/>
      <c r="AM74" s="539"/>
      <c r="AN74" s="539"/>
      <c r="AO74" s="539"/>
      <c r="AP74" s="523"/>
    </row>
    <row r="75" spans="1:42" ht="15" customHeight="1">
      <c r="H75" s="407" t="s">
        <v>505</v>
      </c>
      <c r="I75" s="410" t="s">
        <v>3058</v>
      </c>
      <c r="O75" s="407" t="s">
        <v>505</v>
      </c>
      <c r="P75" s="410" t="s">
        <v>3058</v>
      </c>
      <c r="V75" s="407" t="s">
        <v>505</v>
      </c>
      <c r="W75" s="410" t="s">
        <v>3058</v>
      </c>
      <c r="AF75" s="528"/>
      <c r="AG75" s="528"/>
      <c r="AH75" s="528"/>
      <c r="AI75" s="539"/>
      <c r="AJ75" s="539"/>
      <c r="AK75" s="539"/>
      <c r="AL75" s="539"/>
      <c r="AM75" s="539"/>
      <c r="AN75" s="539"/>
      <c r="AO75" s="539"/>
      <c r="AP75" s="523"/>
    </row>
    <row r="76" spans="1:42" ht="15" customHeight="1">
      <c r="B76" s="410" t="s">
        <v>67</v>
      </c>
      <c r="H76" s="407" t="s">
        <v>505</v>
      </c>
      <c r="I76" s="410" t="s">
        <v>53</v>
      </c>
      <c r="J76" s="410" t="s">
        <v>68</v>
      </c>
      <c r="O76" s="407" t="s">
        <v>505</v>
      </c>
      <c r="P76" s="410" t="s">
        <v>53</v>
      </c>
      <c r="Q76" s="410" t="s">
        <v>68</v>
      </c>
      <c r="V76" s="407" t="s">
        <v>505</v>
      </c>
      <c r="W76" s="410" t="s">
        <v>53</v>
      </c>
      <c r="X76" s="410" t="s">
        <v>68</v>
      </c>
      <c r="AF76" s="528"/>
      <c r="AG76" s="528"/>
      <c r="AH76" s="528"/>
      <c r="AI76" s="539"/>
      <c r="AJ76" s="539"/>
      <c r="AK76" s="539"/>
      <c r="AL76" s="539"/>
      <c r="AM76" s="539"/>
      <c r="AN76" s="539"/>
      <c r="AO76" s="539"/>
      <c r="AP76" s="523"/>
    </row>
    <row r="77" spans="1:42" ht="15" customHeight="1">
      <c r="H77" s="407" t="s">
        <v>505</v>
      </c>
      <c r="I77" s="410" t="s">
        <v>55</v>
      </c>
      <c r="J77" s="410" t="s">
        <v>69</v>
      </c>
      <c r="O77" s="407" t="s">
        <v>505</v>
      </c>
      <c r="P77" s="410" t="s">
        <v>55</v>
      </c>
      <c r="Q77" s="410" t="s">
        <v>69</v>
      </c>
      <c r="V77" s="407" t="s">
        <v>505</v>
      </c>
      <c r="W77" s="410" t="s">
        <v>55</v>
      </c>
      <c r="X77" s="410" t="s">
        <v>69</v>
      </c>
      <c r="AF77" s="528"/>
      <c r="AG77" s="528"/>
      <c r="AH77" s="528"/>
      <c r="AI77" s="534" t="s">
        <v>2888</v>
      </c>
      <c r="AJ77" s="534"/>
      <c r="AK77" s="534"/>
      <c r="AL77" s="534"/>
      <c r="AM77" s="534"/>
      <c r="AN77" s="534"/>
      <c r="AO77" s="534"/>
      <c r="AP77" s="418" t="s">
        <v>3095</v>
      </c>
    </row>
    <row r="78" spans="1:42" ht="15" customHeight="1">
      <c r="J78" s="410" t="s">
        <v>70</v>
      </c>
      <c r="Q78" s="410" t="s">
        <v>70</v>
      </c>
      <c r="X78" s="410" t="s">
        <v>70</v>
      </c>
      <c r="AF78" s="528"/>
      <c r="AG78" s="528"/>
      <c r="AH78" s="528"/>
      <c r="AI78" s="534" t="s">
        <v>2889</v>
      </c>
      <c r="AJ78" s="534"/>
      <c r="AK78" s="534"/>
      <c r="AL78" s="534"/>
      <c r="AM78" s="534"/>
      <c r="AN78" s="534"/>
      <c r="AO78" s="544"/>
      <c r="AP78" s="418" t="s">
        <v>3096</v>
      </c>
    </row>
    <row r="79" spans="1:42" ht="15" customHeight="1">
      <c r="H79" s="407" t="s">
        <v>505</v>
      </c>
      <c r="I79" s="410" t="s">
        <v>58</v>
      </c>
      <c r="J79" s="410" t="s">
        <v>71</v>
      </c>
      <c r="O79" s="407" t="s">
        <v>505</v>
      </c>
      <c r="P79" s="410" t="s">
        <v>58</v>
      </c>
      <c r="Q79" s="410" t="s">
        <v>71</v>
      </c>
      <c r="V79" s="407" t="s">
        <v>505</v>
      </c>
      <c r="W79" s="410" t="s">
        <v>58</v>
      </c>
      <c r="X79" s="410" t="s">
        <v>71</v>
      </c>
      <c r="AF79" s="528"/>
      <c r="AG79" s="528"/>
      <c r="AH79" s="528"/>
      <c r="AI79" s="541" t="s">
        <v>2890</v>
      </c>
      <c r="AJ79" s="541"/>
      <c r="AK79" s="541"/>
      <c r="AL79" s="541"/>
      <c r="AM79" s="541"/>
      <c r="AN79" s="541"/>
      <c r="AO79" s="541"/>
      <c r="AP79" s="523" t="s">
        <v>3097</v>
      </c>
    </row>
    <row r="80" spans="1:42" ht="15" customHeight="1">
      <c r="J80" s="410" t="s">
        <v>72</v>
      </c>
      <c r="Q80" s="410" t="s">
        <v>72</v>
      </c>
      <c r="X80" s="410" t="s">
        <v>72</v>
      </c>
      <c r="AF80" s="528"/>
      <c r="AG80" s="528"/>
      <c r="AH80" s="528"/>
      <c r="AI80" s="541"/>
      <c r="AJ80" s="541"/>
      <c r="AK80" s="541"/>
      <c r="AL80" s="541"/>
      <c r="AM80" s="541"/>
      <c r="AN80" s="541"/>
      <c r="AO80" s="541"/>
      <c r="AP80" s="523"/>
    </row>
    <row r="81" spans="1:42" ht="15" customHeight="1">
      <c r="H81" s="407" t="s">
        <v>505</v>
      </c>
      <c r="I81" s="410" t="s">
        <v>60</v>
      </c>
      <c r="J81" s="410" t="s">
        <v>73</v>
      </c>
      <c r="O81" s="407" t="s">
        <v>505</v>
      </c>
      <c r="P81" s="410" t="s">
        <v>60</v>
      </c>
      <c r="Q81" s="410" t="s">
        <v>73</v>
      </c>
      <c r="V81" s="407" t="s">
        <v>505</v>
      </c>
      <c r="W81" s="410" t="s">
        <v>60</v>
      </c>
      <c r="X81" s="410" t="s">
        <v>73</v>
      </c>
      <c r="AF81" s="528"/>
      <c r="AG81" s="528"/>
      <c r="AH81" s="528"/>
      <c r="AI81" s="541"/>
      <c r="AJ81" s="541"/>
      <c r="AK81" s="541"/>
      <c r="AL81" s="541"/>
      <c r="AM81" s="541"/>
      <c r="AN81" s="541"/>
      <c r="AO81" s="541"/>
      <c r="AP81" s="523"/>
    </row>
    <row r="82" spans="1:42" ht="15" customHeight="1">
      <c r="H82" s="407" t="s">
        <v>505</v>
      </c>
      <c r="I82" s="410" t="s">
        <v>62</v>
      </c>
      <c r="J82" s="410" t="s">
        <v>74</v>
      </c>
      <c r="O82" s="407" t="s">
        <v>505</v>
      </c>
      <c r="P82" s="410" t="s">
        <v>62</v>
      </c>
      <c r="Q82" s="410" t="s">
        <v>74</v>
      </c>
      <c r="V82" s="407" t="s">
        <v>505</v>
      </c>
      <c r="W82" s="410" t="s">
        <v>62</v>
      </c>
      <c r="X82" s="410" t="s">
        <v>74</v>
      </c>
      <c r="AF82" s="528"/>
      <c r="AG82" s="528"/>
      <c r="AH82" s="528"/>
      <c r="AI82" s="539" t="s">
        <v>2891</v>
      </c>
      <c r="AJ82" s="539"/>
      <c r="AK82" s="539"/>
      <c r="AL82" s="539"/>
      <c r="AM82" s="539"/>
      <c r="AN82" s="539"/>
      <c r="AO82" s="539"/>
      <c r="AP82" s="418" t="s">
        <v>3098</v>
      </c>
    </row>
    <row r="83" spans="1:42" ht="15" customHeight="1">
      <c r="J83" s="410" t="s">
        <v>75</v>
      </c>
      <c r="Q83" s="410" t="s">
        <v>75</v>
      </c>
      <c r="X83" s="410" t="s">
        <v>75</v>
      </c>
      <c r="AF83" s="539" t="s">
        <v>2892</v>
      </c>
      <c r="AG83" s="539"/>
      <c r="AH83" s="539"/>
      <c r="AI83" s="534" t="s">
        <v>2893</v>
      </c>
      <c r="AJ83" s="534"/>
      <c r="AK83" s="534"/>
      <c r="AL83" s="534"/>
      <c r="AM83" s="534"/>
      <c r="AN83" s="534"/>
      <c r="AO83" s="534"/>
      <c r="AP83" s="418" t="s">
        <v>3099</v>
      </c>
    </row>
    <row r="84" spans="1:42" ht="15" customHeight="1">
      <c r="H84" s="407" t="s">
        <v>505</v>
      </c>
      <c r="I84" s="410" t="s">
        <v>64</v>
      </c>
      <c r="J84" s="410" t="s">
        <v>2</v>
      </c>
      <c r="O84" s="407" t="s">
        <v>505</v>
      </c>
      <c r="P84" s="410" t="s">
        <v>64</v>
      </c>
      <c r="Q84" s="410" t="s">
        <v>2</v>
      </c>
      <c r="V84" s="407" t="s">
        <v>505</v>
      </c>
      <c r="W84" s="410" t="s">
        <v>64</v>
      </c>
      <c r="X84" s="410" t="s">
        <v>2</v>
      </c>
      <c r="AF84" s="539"/>
      <c r="AG84" s="539"/>
      <c r="AH84" s="539"/>
      <c r="AI84" s="534" t="s">
        <v>2894</v>
      </c>
      <c r="AJ84" s="534"/>
      <c r="AK84" s="534"/>
      <c r="AL84" s="534"/>
      <c r="AM84" s="534"/>
      <c r="AN84" s="534"/>
      <c r="AO84" s="534"/>
      <c r="AP84" s="418" t="s">
        <v>3100</v>
      </c>
    </row>
    <row r="85" spans="1:42" ht="15" customHeight="1">
      <c r="B85" s="410" t="s">
        <v>3059</v>
      </c>
      <c r="AF85" s="539"/>
      <c r="AG85" s="539"/>
      <c r="AH85" s="539"/>
      <c r="AI85" s="534" t="s">
        <v>2895</v>
      </c>
      <c r="AJ85" s="534"/>
      <c r="AK85" s="534"/>
      <c r="AL85" s="534"/>
      <c r="AM85" s="534"/>
      <c r="AN85" s="534"/>
      <c r="AO85" s="534"/>
      <c r="AP85" s="418" t="s">
        <v>3101</v>
      </c>
    </row>
    <row r="86" spans="1:42" ht="15" customHeight="1">
      <c r="H86" s="271" t="s">
        <v>3</v>
      </c>
      <c r="I86" s="584"/>
      <c r="J86" s="585"/>
      <c r="K86" s="585"/>
      <c r="L86" s="585"/>
      <c r="M86" s="410" t="s">
        <v>3060</v>
      </c>
      <c r="O86" s="271" t="s">
        <v>3</v>
      </c>
      <c r="P86" s="584"/>
      <c r="Q86" s="585"/>
      <c r="R86" s="585"/>
      <c r="S86" s="585"/>
      <c r="T86" s="410" t="s">
        <v>3060</v>
      </c>
      <c r="V86" s="271" t="s">
        <v>3</v>
      </c>
      <c r="W86" s="584"/>
      <c r="X86" s="584"/>
      <c r="Y86" s="584"/>
      <c r="Z86" s="584"/>
      <c r="AA86" s="410" t="s">
        <v>3060</v>
      </c>
      <c r="AF86" s="539"/>
      <c r="AG86" s="539"/>
      <c r="AH86" s="539"/>
      <c r="AI86" s="534" t="s">
        <v>2896</v>
      </c>
      <c r="AJ86" s="534"/>
      <c r="AK86" s="534"/>
      <c r="AL86" s="534"/>
      <c r="AM86" s="534"/>
      <c r="AN86" s="534"/>
      <c r="AO86" s="534"/>
      <c r="AP86" s="418" t="s">
        <v>3102</v>
      </c>
    </row>
    <row r="87" spans="1:42" ht="16.5" customHeight="1">
      <c r="B87" s="410" t="s">
        <v>3061</v>
      </c>
      <c r="AF87" s="528" t="s">
        <v>2897</v>
      </c>
      <c r="AG87" s="528"/>
      <c r="AH87" s="528"/>
      <c r="AI87" s="534" t="s">
        <v>2898</v>
      </c>
      <c r="AJ87" s="534"/>
      <c r="AK87" s="534"/>
      <c r="AL87" s="534"/>
      <c r="AM87" s="534"/>
      <c r="AN87" s="534"/>
      <c r="AO87" s="534"/>
      <c r="AP87" s="418" t="s">
        <v>3103</v>
      </c>
    </row>
    <row r="88" spans="1:42" ht="15.75" customHeight="1">
      <c r="C88" s="410" t="s">
        <v>76</v>
      </c>
      <c r="H88" s="271" t="s">
        <v>3</v>
      </c>
      <c r="I88" s="586" t="str">
        <f>cst_wskakunin_p4_1_YUKA_MENSEKI_SHINSEI</f>
        <v/>
      </c>
      <c r="J88" s="587"/>
      <c r="K88" s="587"/>
      <c r="L88" s="587"/>
      <c r="M88" s="587"/>
      <c r="N88" s="410" t="s">
        <v>3236</v>
      </c>
      <c r="O88" s="271" t="s">
        <v>3</v>
      </c>
      <c r="P88" s="586" t="str">
        <f>cst_wskakunin_p4_2_YUKA_MENSEKI_SHINSEI</f>
        <v/>
      </c>
      <c r="Q88" s="587"/>
      <c r="R88" s="587"/>
      <c r="S88" s="587"/>
      <c r="T88" s="587"/>
      <c r="U88" s="410" t="s">
        <v>3236</v>
      </c>
      <c r="V88" s="271" t="s">
        <v>3</v>
      </c>
      <c r="W88" s="588" t="str">
        <f>cst_wskakunin_p4_3_YUKA_MENSEKI_SHINSEI</f>
        <v/>
      </c>
      <c r="X88" s="588"/>
      <c r="Y88" s="588"/>
      <c r="Z88" s="588"/>
      <c r="AA88" s="549" t="s">
        <v>3236</v>
      </c>
      <c r="AB88" s="549"/>
      <c r="AF88" s="528"/>
      <c r="AG88" s="528"/>
      <c r="AH88" s="528"/>
      <c r="AI88" s="536" t="s">
        <v>2899</v>
      </c>
      <c r="AJ88" s="536"/>
      <c r="AK88" s="536"/>
      <c r="AL88" s="536"/>
      <c r="AM88" s="536"/>
      <c r="AN88" s="536"/>
      <c r="AO88" s="536"/>
      <c r="AP88" s="418" t="s">
        <v>3104</v>
      </c>
    </row>
    <row r="89" spans="1:42" ht="16.5" customHeight="1">
      <c r="B89" s="410" t="s">
        <v>3062</v>
      </c>
      <c r="I89" s="271"/>
      <c r="O89" s="271"/>
      <c r="V89" s="271"/>
      <c r="AF89" s="528"/>
      <c r="AG89" s="528"/>
      <c r="AH89" s="528"/>
      <c r="AI89" s="536" t="s">
        <v>3105</v>
      </c>
      <c r="AJ89" s="536"/>
      <c r="AK89" s="536"/>
      <c r="AL89" s="536"/>
      <c r="AM89" s="536"/>
      <c r="AN89" s="536"/>
      <c r="AO89" s="536"/>
      <c r="AP89" s="418" t="s">
        <v>3106</v>
      </c>
    </row>
    <row r="90" spans="1:42" ht="16.5" customHeight="1">
      <c r="H90" s="271" t="s">
        <v>3</v>
      </c>
      <c r="I90" s="584"/>
      <c r="J90" s="585"/>
      <c r="K90" s="585"/>
      <c r="L90" s="585"/>
      <c r="M90" s="410" t="s">
        <v>77</v>
      </c>
      <c r="O90" s="271" t="s">
        <v>3</v>
      </c>
      <c r="P90" s="584"/>
      <c r="Q90" s="585"/>
      <c r="R90" s="585"/>
      <c r="S90" s="585"/>
      <c r="T90" s="410" t="s">
        <v>77</v>
      </c>
      <c r="V90" s="271" t="s">
        <v>3</v>
      </c>
      <c r="W90" s="584"/>
      <c r="X90" s="584"/>
      <c r="Y90" s="584"/>
      <c r="Z90" s="584"/>
      <c r="AA90" s="410" t="s">
        <v>77</v>
      </c>
      <c r="AF90" s="528"/>
      <c r="AG90" s="528"/>
      <c r="AH90" s="528"/>
      <c r="AI90" s="536" t="s">
        <v>3107</v>
      </c>
      <c r="AJ90" s="524"/>
      <c r="AK90" s="524"/>
      <c r="AL90" s="524"/>
      <c r="AM90" s="524"/>
      <c r="AN90" s="524"/>
      <c r="AO90" s="524"/>
      <c r="AP90" s="418" t="s">
        <v>3108</v>
      </c>
    </row>
    <row r="91" spans="1:42" ht="16.5" customHeight="1">
      <c r="B91" s="410" t="s">
        <v>3063</v>
      </c>
      <c r="AF91" s="539" t="s">
        <v>2902</v>
      </c>
      <c r="AG91" s="539"/>
      <c r="AH91" s="539"/>
      <c r="AI91" s="541" t="s">
        <v>2903</v>
      </c>
      <c r="AJ91" s="541"/>
      <c r="AK91" s="541"/>
      <c r="AL91" s="541"/>
      <c r="AM91" s="541"/>
      <c r="AN91" s="541"/>
      <c r="AO91" s="541"/>
      <c r="AP91" s="542" t="s">
        <v>3109</v>
      </c>
    </row>
    <row r="92" spans="1:42" ht="16.5" customHeight="1">
      <c r="H92" s="271" t="s">
        <v>3</v>
      </c>
      <c r="I92" s="589" t="str">
        <f>cst_wskakunin_p4_1_KAISU_TIKAI_NOZOKU</f>
        <v/>
      </c>
      <c r="J92" s="589"/>
      <c r="K92" s="589"/>
      <c r="L92" s="589"/>
      <c r="M92" s="589"/>
      <c r="N92" s="410" t="s">
        <v>51</v>
      </c>
      <c r="O92" s="271" t="s">
        <v>3</v>
      </c>
      <c r="P92" s="589" t="str">
        <f>cst_wskakunin_p4_2_KAISU_TIKAI_NOZOKU</f>
        <v/>
      </c>
      <c r="Q92" s="589"/>
      <c r="R92" s="589"/>
      <c r="S92" s="589"/>
      <c r="T92" s="589"/>
      <c r="U92" s="410" t="s">
        <v>51</v>
      </c>
      <c r="V92" s="271" t="s">
        <v>3</v>
      </c>
      <c r="W92" s="589" t="str">
        <f>cst_wskakunin_p4_3_KAISU_TIKAI_NOZOKU</f>
        <v/>
      </c>
      <c r="X92" s="589"/>
      <c r="Y92" s="589"/>
      <c r="Z92" s="589"/>
      <c r="AA92" s="589"/>
      <c r="AB92" s="410" t="s">
        <v>51</v>
      </c>
      <c r="AF92" s="540"/>
      <c r="AG92" s="540"/>
      <c r="AH92" s="540"/>
      <c r="AI92" s="541"/>
      <c r="AJ92" s="541"/>
      <c r="AK92" s="541"/>
      <c r="AL92" s="541"/>
      <c r="AM92" s="541"/>
      <c r="AN92" s="541"/>
      <c r="AO92" s="541"/>
      <c r="AP92" s="543"/>
    </row>
    <row r="93" spans="1:42" ht="16.5" customHeight="1">
      <c r="B93" s="410" t="s">
        <v>3064</v>
      </c>
      <c r="AF93" s="524" t="s">
        <v>3110</v>
      </c>
      <c r="AG93" s="524"/>
      <c r="AH93" s="524"/>
      <c r="AI93" s="524" t="s">
        <v>3111</v>
      </c>
      <c r="AJ93" s="524"/>
      <c r="AK93" s="524"/>
      <c r="AL93" s="524"/>
      <c r="AM93" s="524"/>
      <c r="AN93" s="524"/>
      <c r="AO93" s="524"/>
      <c r="AP93" s="418" t="s">
        <v>3112</v>
      </c>
    </row>
    <row r="94" spans="1:42" ht="16.5" customHeight="1">
      <c r="A94" s="270"/>
      <c r="B94" s="270"/>
      <c r="C94" s="270"/>
      <c r="D94" s="270"/>
      <c r="E94" s="270"/>
      <c r="F94" s="270"/>
      <c r="G94" s="270"/>
      <c r="H94" s="271" t="s">
        <v>3</v>
      </c>
      <c r="I94" s="590" t="str">
        <f>cst_wskakunin_p4_1_KAISU_TIKAI</f>
        <v/>
      </c>
      <c r="J94" s="591"/>
      <c r="K94" s="591"/>
      <c r="L94" s="591"/>
      <c r="M94" s="591"/>
      <c r="N94" s="410" t="s">
        <v>51</v>
      </c>
      <c r="O94" s="271" t="s">
        <v>3</v>
      </c>
      <c r="P94" s="589" t="str">
        <f>cst_wskakunin_p4_2_KAISU_TIKAI</f>
        <v/>
      </c>
      <c r="Q94" s="589"/>
      <c r="R94" s="589"/>
      <c r="S94" s="589"/>
      <c r="T94" s="589"/>
      <c r="U94" s="410" t="s">
        <v>51</v>
      </c>
      <c r="V94" s="271" t="s">
        <v>3</v>
      </c>
      <c r="W94" s="589" t="str">
        <f>cst_wskakunin_p4_3_KAISU_TIKAI</f>
        <v/>
      </c>
      <c r="X94" s="589"/>
      <c r="Y94" s="589"/>
      <c r="Z94" s="589"/>
      <c r="AA94" s="589"/>
      <c r="AB94" s="410" t="s">
        <v>51</v>
      </c>
      <c r="AF94" s="524" t="s">
        <v>3113</v>
      </c>
      <c r="AG94" s="524"/>
      <c r="AH94" s="524"/>
      <c r="AI94" s="524" t="s">
        <v>3114</v>
      </c>
      <c r="AJ94" s="524"/>
      <c r="AK94" s="524"/>
      <c r="AL94" s="524"/>
      <c r="AM94" s="524"/>
      <c r="AN94" s="524"/>
      <c r="AO94" s="524"/>
      <c r="AP94" s="418" t="s">
        <v>3115</v>
      </c>
    </row>
    <row r="95" spans="1:42" ht="16.5" customHeight="1">
      <c r="A95" s="274" t="s">
        <v>78</v>
      </c>
      <c r="B95" s="274"/>
      <c r="C95" s="274"/>
      <c r="D95" s="274"/>
      <c r="E95" s="274"/>
      <c r="F95" s="274"/>
      <c r="G95" s="274"/>
      <c r="H95" s="274"/>
      <c r="I95" s="274"/>
      <c r="J95" s="274"/>
      <c r="K95" s="274"/>
      <c r="L95" s="274"/>
      <c r="M95" s="274"/>
      <c r="N95" s="592" t="str">
        <f>cst_wskakunin_SHIKITI_MENSEKI_1_TOTAL</f>
        <v/>
      </c>
      <c r="O95" s="593"/>
      <c r="P95" s="593"/>
      <c r="Q95" s="593"/>
      <c r="R95" s="593"/>
      <c r="S95" s="274" t="s">
        <v>108</v>
      </c>
      <c r="T95" s="274"/>
      <c r="U95" s="274"/>
      <c r="V95" s="274"/>
      <c r="W95" s="274"/>
      <c r="X95" s="274"/>
      <c r="Y95" s="274"/>
      <c r="Z95" s="274"/>
      <c r="AA95" s="274"/>
      <c r="AF95" s="528" t="s">
        <v>2906</v>
      </c>
      <c r="AG95" s="528"/>
      <c r="AH95" s="528"/>
      <c r="AI95" s="537" t="s">
        <v>3116</v>
      </c>
      <c r="AJ95" s="538"/>
      <c r="AK95" s="538"/>
      <c r="AL95" s="538"/>
      <c r="AM95" s="538"/>
      <c r="AN95" s="538"/>
      <c r="AO95" s="538"/>
      <c r="AP95" s="418" t="s">
        <v>3117</v>
      </c>
    </row>
    <row r="96" spans="1:42" ht="8.25" customHeight="1">
      <c r="AF96" s="528"/>
      <c r="AG96" s="528"/>
      <c r="AH96" s="528"/>
      <c r="AI96" s="524" t="s">
        <v>2908</v>
      </c>
      <c r="AJ96" s="524"/>
      <c r="AK96" s="524"/>
      <c r="AL96" s="524"/>
      <c r="AM96" s="524"/>
      <c r="AN96" s="524"/>
      <c r="AO96" s="524"/>
      <c r="AP96" s="418" t="s">
        <v>3118</v>
      </c>
    </row>
    <row r="97" spans="1:42" ht="15" customHeight="1">
      <c r="A97" s="570" t="s">
        <v>79</v>
      </c>
      <c r="B97" s="570"/>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F97" s="528" t="s">
        <v>3119</v>
      </c>
      <c r="AG97" s="528"/>
      <c r="AH97" s="528"/>
      <c r="AI97" s="524" t="s">
        <v>2910</v>
      </c>
      <c r="AJ97" s="524"/>
      <c r="AK97" s="524"/>
      <c r="AL97" s="524"/>
      <c r="AM97" s="524"/>
      <c r="AN97" s="524"/>
      <c r="AO97" s="524"/>
      <c r="AP97" s="418" t="s">
        <v>3120</v>
      </c>
    </row>
    <row r="98" spans="1:42" ht="16.5" customHeight="1">
      <c r="A98" s="410" t="s">
        <v>80</v>
      </c>
      <c r="AF98" s="528"/>
      <c r="AG98" s="528"/>
      <c r="AH98" s="528"/>
      <c r="AI98" s="534" t="s">
        <v>2911</v>
      </c>
      <c r="AJ98" s="534"/>
      <c r="AK98" s="534"/>
      <c r="AL98" s="534"/>
      <c r="AM98" s="534"/>
      <c r="AN98" s="534"/>
      <c r="AO98" s="534"/>
      <c r="AP98" s="523" t="s">
        <v>3121</v>
      </c>
    </row>
    <row r="99" spans="1:42" ht="16.5" customHeight="1">
      <c r="B99" s="410" t="s">
        <v>50</v>
      </c>
      <c r="G99" s="584"/>
      <c r="H99" s="583"/>
      <c r="I99" s="583"/>
      <c r="AF99" s="533"/>
      <c r="AG99" s="533"/>
      <c r="AH99" s="533"/>
      <c r="AI99" s="534"/>
      <c r="AJ99" s="534"/>
      <c r="AK99" s="534"/>
      <c r="AL99" s="534"/>
      <c r="AM99" s="534"/>
      <c r="AN99" s="534"/>
      <c r="AO99" s="534"/>
      <c r="AP99" s="535"/>
    </row>
    <row r="100" spans="1:42" ht="16.5" customHeight="1">
      <c r="B100" s="410" t="s">
        <v>3065</v>
      </c>
      <c r="J100" s="410" t="s">
        <v>3066</v>
      </c>
      <c r="M100" s="410" t="s">
        <v>3</v>
      </c>
      <c r="N100" s="407" t="s">
        <v>505</v>
      </c>
      <c r="O100" s="410" t="s">
        <v>459</v>
      </c>
      <c r="Q100" s="407" t="s">
        <v>505</v>
      </c>
      <c r="R100" s="410" t="s">
        <v>460</v>
      </c>
      <c r="T100" s="407" t="s">
        <v>505</v>
      </c>
      <c r="U100" s="410" t="s">
        <v>461</v>
      </c>
      <c r="W100" s="410" t="s">
        <v>51</v>
      </c>
      <c r="AF100" s="528" t="s">
        <v>3122</v>
      </c>
      <c r="AG100" s="528"/>
      <c r="AH100" s="528"/>
      <c r="AI100" s="524" t="s">
        <v>2913</v>
      </c>
      <c r="AJ100" s="524"/>
      <c r="AK100" s="524"/>
      <c r="AL100" s="524"/>
      <c r="AM100" s="524"/>
      <c r="AN100" s="524"/>
      <c r="AO100" s="524"/>
      <c r="AP100" s="418" t="s">
        <v>3123</v>
      </c>
    </row>
    <row r="101" spans="1:42" ht="16.5" customHeight="1">
      <c r="J101" s="410" t="s">
        <v>3067</v>
      </c>
      <c r="M101" s="410" t="s">
        <v>3</v>
      </c>
      <c r="Q101" s="407" t="s">
        <v>505</v>
      </c>
      <c r="R101" s="410" t="s">
        <v>460</v>
      </c>
      <c r="T101" s="407" t="s">
        <v>505</v>
      </c>
      <c r="U101" s="410" t="s">
        <v>461</v>
      </c>
      <c r="W101" s="410" t="s">
        <v>51</v>
      </c>
      <c r="AF101" s="528"/>
      <c r="AG101" s="528"/>
      <c r="AH101" s="528"/>
      <c r="AI101" s="524" t="s">
        <v>2914</v>
      </c>
      <c r="AJ101" s="524"/>
      <c r="AK101" s="524"/>
      <c r="AL101" s="524"/>
      <c r="AM101" s="524"/>
      <c r="AN101" s="524"/>
      <c r="AO101" s="524"/>
      <c r="AP101" s="418" t="s">
        <v>3124</v>
      </c>
    </row>
    <row r="102" spans="1:42" ht="16.5" customHeight="1">
      <c r="B102" s="410" t="s">
        <v>3068</v>
      </c>
      <c r="H102" s="407" t="s">
        <v>505</v>
      </c>
      <c r="I102" s="410" t="s">
        <v>3069</v>
      </c>
      <c r="O102" s="407" t="s">
        <v>505</v>
      </c>
      <c r="P102" s="410" t="s">
        <v>3070</v>
      </c>
      <c r="T102" s="407" t="s">
        <v>505</v>
      </c>
      <c r="U102" s="410" t="s">
        <v>3071</v>
      </c>
      <c r="AF102" s="528"/>
      <c r="AG102" s="528"/>
      <c r="AH102" s="528"/>
      <c r="AI102" s="536" t="s">
        <v>2915</v>
      </c>
      <c r="AJ102" s="536"/>
      <c r="AK102" s="536"/>
      <c r="AL102" s="536"/>
      <c r="AM102" s="536"/>
      <c r="AN102" s="536"/>
      <c r="AO102" s="536"/>
      <c r="AP102" s="418" t="s">
        <v>3125</v>
      </c>
    </row>
    <row r="103" spans="1:42" ht="16.5" customHeight="1">
      <c r="H103" s="407" t="s">
        <v>505</v>
      </c>
      <c r="I103" s="410" t="s">
        <v>3072</v>
      </c>
      <c r="P103" s="407" t="s">
        <v>505</v>
      </c>
      <c r="Q103" s="410" t="s">
        <v>3073</v>
      </c>
      <c r="AF103" s="528"/>
      <c r="AG103" s="528"/>
      <c r="AH103" s="528"/>
      <c r="AI103" s="536" t="s">
        <v>3126</v>
      </c>
      <c r="AJ103" s="536"/>
      <c r="AK103" s="536"/>
      <c r="AL103" s="536"/>
      <c r="AM103" s="536"/>
      <c r="AN103" s="536"/>
      <c r="AO103" s="536"/>
      <c r="AP103" s="418" t="s">
        <v>3127</v>
      </c>
    </row>
    <row r="104" spans="1:42" ht="16.5" customHeight="1">
      <c r="B104" s="410" t="s">
        <v>3074</v>
      </c>
      <c r="H104" s="407" t="s">
        <v>505</v>
      </c>
      <c r="I104" s="410" t="s">
        <v>81</v>
      </c>
      <c r="N104" s="407" t="s">
        <v>505</v>
      </c>
      <c r="O104" s="410" t="s">
        <v>82</v>
      </c>
      <c r="U104" s="407" t="s">
        <v>505</v>
      </c>
      <c r="V104" s="410" t="s">
        <v>83</v>
      </c>
      <c r="AF104" s="528" t="s">
        <v>3128</v>
      </c>
      <c r="AG104" s="528"/>
      <c r="AH104" s="528"/>
      <c r="AI104" s="524" t="s">
        <v>2918</v>
      </c>
      <c r="AJ104" s="524"/>
      <c r="AK104" s="524"/>
      <c r="AL104" s="524"/>
      <c r="AM104" s="524"/>
      <c r="AN104" s="524"/>
      <c r="AO104" s="524"/>
      <c r="AP104" s="418" t="s">
        <v>3129</v>
      </c>
    </row>
    <row r="105" spans="1:42" ht="16.5" customHeight="1">
      <c r="B105" s="410" t="s">
        <v>3075</v>
      </c>
      <c r="H105" s="407" t="s">
        <v>505</v>
      </c>
      <c r="I105" s="410" t="s">
        <v>84</v>
      </c>
      <c r="N105" s="407" t="s">
        <v>505</v>
      </c>
      <c r="O105" s="410" t="s">
        <v>87</v>
      </c>
      <c r="U105" s="407" t="s">
        <v>505</v>
      </c>
      <c r="V105" s="410" t="s">
        <v>88</v>
      </c>
      <c r="AF105" s="528"/>
      <c r="AG105" s="528"/>
      <c r="AH105" s="528"/>
      <c r="AI105" s="524" t="s">
        <v>2919</v>
      </c>
      <c r="AJ105" s="524"/>
      <c r="AK105" s="524"/>
      <c r="AL105" s="524"/>
      <c r="AM105" s="524"/>
      <c r="AN105" s="524"/>
      <c r="AO105" s="524"/>
      <c r="AP105" s="418" t="s">
        <v>3130</v>
      </c>
    </row>
    <row r="106" spans="1:42" ht="16.5" customHeight="1">
      <c r="B106" s="410" t="s">
        <v>3076</v>
      </c>
      <c r="H106" s="407" t="s">
        <v>505</v>
      </c>
      <c r="I106" s="410" t="s">
        <v>85</v>
      </c>
      <c r="N106" s="407" t="s">
        <v>505</v>
      </c>
      <c r="O106" s="410" t="s">
        <v>86</v>
      </c>
      <c r="U106" s="407" t="s">
        <v>505</v>
      </c>
      <c r="V106" s="410" t="s">
        <v>3077</v>
      </c>
      <c r="AF106" s="528" t="s">
        <v>2920</v>
      </c>
      <c r="AG106" s="528"/>
      <c r="AH106" s="528"/>
      <c r="AI106" s="529" t="s">
        <v>2921</v>
      </c>
      <c r="AJ106" s="524"/>
      <c r="AK106" s="524"/>
      <c r="AL106" s="524"/>
      <c r="AM106" s="524"/>
      <c r="AN106" s="524"/>
      <c r="AO106" s="524"/>
      <c r="AP106" s="418" t="s">
        <v>3131</v>
      </c>
    </row>
    <row r="107" spans="1:42" ht="16.5" customHeight="1">
      <c r="B107" s="410" t="s">
        <v>3078</v>
      </c>
      <c r="G107" s="271"/>
      <c r="H107" s="407" t="s">
        <v>505</v>
      </c>
      <c r="I107" s="594" t="s">
        <v>89</v>
      </c>
      <c r="J107" s="595"/>
      <c r="K107" s="595"/>
      <c r="L107" s="409"/>
      <c r="M107" s="407" t="s">
        <v>505</v>
      </c>
      <c r="N107" s="594" t="s">
        <v>91</v>
      </c>
      <c r="O107" s="595"/>
      <c r="P107" s="595"/>
      <c r="Q107" s="409"/>
      <c r="R107" s="407" t="s">
        <v>505</v>
      </c>
      <c r="S107" s="594" t="s">
        <v>92</v>
      </c>
      <c r="T107" s="595"/>
      <c r="U107" s="595"/>
      <c r="V107" s="409"/>
      <c r="W107" s="407" t="s">
        <v>505</v>
      </c>
      <c r="X107" s="594" t="s">
        <v>93</v>
      </c>
      <c r="Y107" s="595"/>
      <c r="Z107" s="595"/>
      <c r="AA107" s="277"/>
      <c r="AF107" s="528"/>
      <c r="AG107" s="528"/>
      <c r="AH107" s="528"/>
      <c r="AI107" s="529" t="s">
        <v>2922</v>
      </c>
      <c r="AJ107" s="524"/>
      <c r="AK107" s="524"/>
      <c r="AL107" s="524"/>
      <c r="AM107" s="524"/>
      <c r="AN107" s="524"/>
      <c r="AO107" s="524"/>
      <c r="AP107" s="418" t="s">
        <v>3132</v>
      </c>
    </row>
    <row r="108" spans="1:42" ht="16.5" customHeight="1">
      <c r="B108" s="410" t="s">
        <v>3079</v>
      </c>
      <c r="G108" s="271" t="s">
        <v>3</v>
      </c>
      <c r="H108" s="560" t="str">
        <f>IF(H107="☑",1,"")</f>
        <v/>
      </c>
      <c r="I108" s="560"/>
      <c r="J108" s="560"/>
      <c r="K108" s="560"/>
      <c r="L108" s="409" t="s">
        <v>90</v>
      </c>
      <c r="M108" s="584"/>
      <c r="N108" s="584"/>
      <c r="O108" s="584"/>
      <c r="P108" s="584"/>
      <c r="Q108" s="409" t="s">
        <v>90</v>
      </c>
      <c r="R108" s="584"/>
      <c r="S108" s="584"/>
      <c r="T108" s="584"/>
      <c r="U108" s="584"/>
      <c r="V108" s="409" t="s">
        <v>90</v>
      </c>
      <c r="W108" s="560" t="str">
        <f>IF(W107="☑",1,"")</f>
        <v/>
      </c>
      <c r="X108" s="560"/>
      <c r="Y108" s="560"/>
      <c r="Z108" s="560"/>
      <c r="AA108" s="277" t="s">
        <v>51</v>
      </c>
      <c r="AF108" s="528"/>
      <c r="AG108" s="528"/>
      <c r="AH108" s="528"/>
      <c r="AI108" s="529" t="s">
        <v>2923</v>
      </c>
      <c r="AJ108" s="524"/>
      <c r="AK108" s="524"/>
      <c r="AL108" s="524"/>
      <c r="AM108" s="524"/>
      <c r="AN108" s="524"/>
      <c r="AO108" s="524"/>
      <c r="AP108" s="418" t="s">
        <v>3133</v>
      </c>
    </row>
    <row r="109" spans="1:42" ht="16.5" customHeight="1">
      <c r="B109" s="410" t="s">
        <v>3080</v>
      </c>
      <c r="G109" s="271" t="s">
        <v>3</v>
      </c>
      <c r="H109" s="596" t="str">
        <f>IF(H107="☑",TEXT(cst_wskakunin_NOBE_MENSEKI_JYUTAKU_SHINSEI,"0.00")&amp;"㎡","㎡")</f>
        <v>㎡</v>
      </c>
      <c r="I109" s="596"/>
      <c r="J109" s="596"/>
      <c r="K109" s="596"/>
      <c r="L109" s="409" t="s">
        <v>90</v>
      </c>
      <c r="M109" s="582" t="s">
        <v>108</v>
      </c>
      <c r="N109" s="582"/>
      <c r="O109" s="582"/>
      <c r="P109" s="582"/>
      <c r="Q109" s="409" t="s">
        <v>90</v>
      </c>
      <c r="R109" s="582" t="s">
        <v>108</v>
      </c>
      <c r="S109" s="582"/>
      <c r="T109" s="582"/>
      <c r="U109" s="582"/>
      <c r="V109" s="409" t="s">
        <v>90</v>
      </c>
      <c r="W109" s="596" t="str">
        <f>IF(W107="☑",TEXT(cst_wskakunin_NOBE_MENSEKI_JYUTAKU_SHINSEI,"0.00")&amp;"㎡","㎡")</f>
        <v>㎡</v>
      </c>
      <c r="X109" s="596"/>
      <c r="Y109" s="596"/>
      <c r="Z109" s="596"/>
      <c r="AA109" s="277" t="s">
        <v>51</v>
      </c>
      <c r="AF109" s="528"/>
      <c r="AG109" s="528"/>
      <c r="AH109" s="528"/>
      <c r="AI109" s="529" t="s">
        <v>2924</v>
      </c>
      <c r="AJ109" s="524"/>
      <c r="AK109" s="524"/>
      <c r="AL109" s="524"/>
      <c r="AM109" s="524"/>
      <c r="AN109" s="524"/>
      <c r="AO109" s="524"/>
      <c r="AP109" s="418" t="s">
        <v>3134</v>
      </c>
    </row>
    <row r="110" spans="1:42" ht="16.5" customHeight="1">
      <c r="A110" s="270"/>
      <c r="B110" s="270"/>
      <c r="C110" s="270" t="s">
        <v>94</v>
      </c>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F110" s="528"/>
      <c r="AG110" s="528"/>
      <c r="AH110" s="528"/>
      <c r="AI110" s="529" t="s">
        <v>2925</v>
      </c>
      <c r="AJ110" s="524"/>
      <c r="AK110" s="524"/>
      <c r="AL110" s="524"/>
      <c r="AM110" s="524"/>
      <c r="AN110" s="524"/>
      <c r="AO110" s="524"/>
      <c r="AP110" s="418" t="s">
        <v>3135</v>
      </c>
    </row>
    <row r="111" spans="1:42">
      <c r="AF111" s="528"/>
      <c r="AG111" s="528"/>
      <c r="AH111" s="528"/>
      <c r="AI111" s="530" t="s">
        <v>3136</v>
      </c>
      <c r="AJ111" s="530"/>
      <c r="AK111" s="530"/>
      <c r="AL111" s="530"/>
      <c r="AM111" s="530"/>
      <c r="AN111" s="530"/>
      <c r="AO111" s="530"/>
      <c r="AP111" s="523" t="s">
        <v>3137</v>
      </c>
    </row>
    <row r="112" spans="1:42" ht="15" customHeight="1">
      <c r="A112" s="570" t="s">
        <v>95</v>
      </c>
      <c r="B112" s="570"/>
      <c r="C112" s="57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F112" s="528"/>
      <c r="AG112" s="528"/>
      <c r="AH112" s="528"/>
      <c r="AI112" s="531"/>
      <c r="AJ112" s="531"/>
      <c r="AK112" s="531"/>
      <c r="AL112" s="531"/>
      <c r="AM112" s="531"/>
      <c r="AN112" s="531"/>
      <c r="AO112" s="531"/>
      <c r="AP112" s="523"/>
    </row>
    <row r="113" spans="1:42" ht="16.5" customHeight="1">
      <c r="A113" s="410" t="s">
        <v>96</v>
      </c>
      <c r="G113" s="410" t="s">
        <v>46</v>
      </c>
      <c r="N113" s="271" t="s">
        <v>3</v>
      </c>
      <c r="O113" s="573"/>
      <c r="P113" s="574"/>
      <c r="Q113" s="410" t="s">
        <v>4</v>
      </c>
      <c r="R113" s="575" t="str">
        <f>居住専用建築物テキスト2</f>
        <v/>
      </c>
      <c r="S113" s="576"/>
      <c r="T113" s="576"/>
      <c r="U113" s="576"/>
      <c r="V113" s="576"/>
      <c r="W113" s="576"/>
      <c r="X113" s="576"/>
      <c r="Y113" s="576"/>
      <c r="Z113" s="576"/>
      <c r="AA113" s="576"/>
      <c r="AF113" s="528"/>
      <c r="AG113" s="528"/>
      <c r="AH113" s="528"/>
      <c r="AI113" s="531"/>
      <c r="AJ113" s="531"/>
      <c r="AK113" s="531"/>
      <c r="AL113" s="531"/>
      <c r="AM113" s="531"/>
      <c r="AN113" s="531"/>
      <c r="AO113" s="531"/>
      <c r="AP113" s="523"/>
    </row>
    <row r="114" spans="1:42" ht="16.5" customHeight="1">
      <c r="G114" s="410" t="s">
        <v>47</v>
      </c>
      <c r="N114" s="271" t="s">
        <v>3</v>
      </c>
      <c r="O114" s="577"/>
      <c r="P114" s="578"/>
      <c r="Q114" s="410" t="s">
        <v>4</v>
      </c>
      <c r="R114" s="560" t="str">
        <f>居住産業併用建築物テキスト2</f>
        <v/>
      </c>
      <c r="S114" s="561"/>
      <c r="T114" s="561"/>
      <c r="U114" s="561"/>
      <c r="V114" s="561"/>
      <c r="W114" s="561"/>
      <c r="X114" s="561"/>
      <c r="Y114" s="561"/>
      <c r="Z114" s="561"/>
      <c r="AA114" s="561"/>
      <c r="AF114" s="528"/>
      <c r="AG114" s="528"/>
      <c r="AH114" s="528"/>
      <c r="AI114" s="532"/>
      <c r="AJ114" s="532"/>
      <c r="AK114" s="532"/>
      <c r="AL114" s="532"/>
      <c r="AM114" s="532"/>
      <c r="AN114" s="532"/>
      <c r="AO114" s="532"/>
      <c r="AP114" s="523"/>
    </row>
    <row r="115" spans="1:42" ht="16.5" customHeight="1">
      <c r="G115" s="410" t="s">
        <v>48</v>
      </c>
      <c r="N115" s="271" t="s">
        <v>3</v>
      </c>
      <c r="O115" s="577"/>
      <c r="P115" s="578"/>
      <c r="Q115" s="410" t="s">
        <v>4</v>
      </c>
      <c r="R115" s="560" t="str">
        <f>産業専用建築物テキスト2</f>
        <v/>
      </c>
      <c r="S115" s="561"/>
      <c r="T115" s="561"/>
      <c r="U115" s="561"/>
      <c r="V115" s="561"/>
      <c r="W115" s="561"/>
      <c r="X115" s="561"/>
      <c r="Y115" s="561"/>
      <c r="Z115" s="561"/>
      <c r="AA115" s="561"/>
      <c r="AF115" s="524" t="s">
        <v>3138</v>
      </c>
      <c r="AG115" s="524"/>
      <c r="AH115" s="524"/>
      <c r="AI115" s="524" t="s">
        <v>3138</v>
      </c>
      <c r="AJ115" s="524"/>
      <c r="AK115" s="524"/>
      <c r="AL115" s="524"/>
      <c r="AM115" s="524"/>
      <c r="AN115" s="524"/>
      <c r="AO115" s="524"/>
      <c r="AP115" s="418" t="s">
        <v>3139</v>
      </c>
    </row>
    <row r="116" spans="1:42" ht="16.5" customHeight="1">
      <c r="A116" s="410" t="s">
        <v>3081</v>
      </c>
      <c r="F116" s="407" t="s">
        <v>505</v>
      </c>
      <c r="G116" s="410" t="s">
        <v>97</v>
      </c>
      <c r="Q116" s="407" t="s">
        <v>505</v>
      </c>
      <c r="R116" s="410" t="s">
        <v>98</v>
      </c>
      <c r="AF116" s="420" t="s">
        <v>2928</v>
      </c>
      <c r="AG116" s="420"/>
      <c r="AH116" s="420"/>
      <c r="AI116" s="525" t="s">
        <v>2928</v>
      </c>
      <c r="AJ116" s="526"/>
      <c r="AK116" s="526"/>
      <c r="AL116" s="526"/>
      <c r="AM116" s="526"/>
      <c r="AN116" s="526"/>
      <c r="AO116" s="527"/>
      <c r="AP116" s="418" t="s">
        <v>3140</v>
      </c>
    </row>
    <row r="117" spans="1:42" ht="16.5" customHeight="1">
      <c r="A117" s="410" t="s">
        <v>3082</v>
      </c>
      <c r="F117" s="407" t="s">
        <v>505</v>
      </c>
      <c r="G117" s="410" t="s">
        <v>99</v>
      </c>
      <c r="Q117" s="407" t="s">
        <v>505</v>
      </c>
      <c r="R117" s="410" t="s">
        <v>98</v>
      </c>
    </row>
    <row r="118" spans="1:42" ht="16.5" customHeight="1">
      <c r="A118" s="410" t="s">
        <v>100</v>
      </c>
      <c r="J118" s="560"/>
      <c r="K118" s="561"/>
    </row>
    <row r="119" spans="1:42" ht="16.5" customHeight="1">
      <c r="A119" s="410" t="s">
        <v>101</v>
      </c>
      <c r="J119" s="560"/>
      <c r="K119" s="561"/>
      <c r="L119" s="410" t="s">
        <v>102</v>
      </c>
    </row>
    <row r="120" spans="1:42" ht="16.5" customHeight="1">
      <c r="A120" s="410" t="s">
        <v>103</v>
      </c>
      <c r="H120" s="407" t="s">
        <v>505</v>
      </c>
      <c r="I120" s="410" t="s">
        <v>104</v>
      </c>
      <c r="L120" s="407" t="s">
        <v>505</v>
      </c>
      <c r="M120" s="410" t="s">
        <v>105</v>
      </c>
      <c r="P120" s="407" t="s">
        <v>505</v>
      </c>
      <c r="Q120" s="410" t="s">
        <v>106</v>
      </c>
    </row>
    <row r="121" spans="1:42" ht="16.5" customHeight="1">
      <c r="A121" s="410" t="s">
        <v>107</v>
      </c>
      <c r="I121" s="597"/>
      <c r="J121" s="598"/>
      <c r="K121" s="598"/>
      <c r="L121" s="410" t="s">
        <v>108</v>
      </c>
    </row>
    <row r="122" spans="1:42" ht="16.5" customHeight="1">
      <c r="A122" s="270" t="s">
        <v>109</v>
      </c>
      <c r="B122" s="270"/>
      <c r="C122" s="270"/>
      <c r="D122" s="270"/>
      <c r="E122" s="270"/>
      <c r="F122" s="270"/>
      <c r="G122" s="270"/>
      <c r="H122" s="270"/>
      <c r="I122" s="568"/>
      <c r="J122" s="569"/>
      <c r="K122" s="569"/>
      <c r="L122" s="270" t="s">
        <v>110</v>
      </c>
      <c r="M122" s="270"/>
      <c r="N122" s="270"/>
      <c r="O122" s="270"/>
      <c r="P122" s="270"/>
      <c r="Q122" s="270"/>
      <c r="R122" s="270"/>
      <c r="S122" s="270"/>
      <c r="T122" s="270"/>
      <c r="U122" s="270"/>
      <c r="V122" s="270"/>
      <c r="W122" s="270"/>
      <c r="X122" s="270"/>
      <c r="Y122" s="270"/>
      <c r="Z122" s="270"/>
      <c r="AA122" s="270"/>
    </row>
  </sheetData>
  <sheetProtection formatCells="0" formatColumns="0" formatRows="0"/>
  <mergeCells count="147">
    <mergeCell ref="H109:K109"/>
    <mergeCell ref="M109:P109"/>
    <mergeCell ref="R109:U109"/>
    <mergeCell ref="W109:Z109"/>
    <mergeCell ref="J118:K118"/>
    <mergeCell ref="J119:K119"/>
    <mergeCell ref="I121:K121"/>
    <mergeCell ref="I122:K122"/>
    <mergeCell ref="A112:AA112"/>
    <mergeCell ref="O113:P113"/>
    <mergeCell ref="R113:AA113"/>
    <mergeCell ref="O114:P114"/>
    <mergeCell ref="R114:AA114"/>
    <mergeCell ref="O115:P115"/>
    <mergeCell ref="R115:AA115"/>
    <mergeCell ref="N95:R95"/>
    <mergeCell ref="A97:AA97"/>
    <mergeCell ref="G99:I99"/>
    <mergeCell ref="I107:K107"/>
    <mergeCell ref="N107:P107"/>
    <mergeCell ref="S107:U107"/>
    <mergeCell ref="X107:Z107"/>
    <mergeCell ref="H108:K108"/>
    <mergeCell ref="M108:P108"/>
    <mergeCell ref="R108:U108"/>
    <mergeCell ref="W108:Z108"/>
    <mergeCell ref="I90:L90"/>
    <mergeCell ref="P90:S90"/>
    <mergeCell ref="W90:Z90"/>
    <mergeCell ref="I92:M92"/>
    <mergeCell ref="P92:T92"/>
    <mergeCell ref="W92:AA92"/>
    <mergeCell ref="I94:M94"/>
    <mergeCell ref="P94:T94"/>
    <mergeCell ref="W94:AA94"/>
    <mergeCell ref="I66:M66"/>
    <mergeCell ref="P66:T66"/>
    <mergeCell ref="W66:AA66"/>
    <mergeCell ref="I86:L86"/>
    <mergeCell ref="P86:S86"/>
    <mergeCell ref="W86:Z86"/>
    <mergeCell ref="I88:M88"/>
    <mergeCell ref="P88:T88"/>
    <mergeCell ref="W88:Z88"/>
    <mergeCell ref="AA88:AB88"/>
    <mergeCell ref="E29:AA29"/>
    <mergeCell ref="E30:L30"/>
    <mergeCell ref="J32:P32"/>
    <mergeCell ref="I34:Z34"/>
    <mergeCell ref="E36:X36"/>
    <mergeCell ref="O64:P64"/>
    <mergeCell ref="R64:AA64"/>
    <mergeCell ref="E38:J38"/>
    <mergeCell ref="E39:Y39"/>
    <mergeCell ref="E40:L40"/>
    <mergeCell ref="A44:AA44"/>
    <mergeCell ref="G55:AB57"/>
    <mergeCell ref="O62:P62"/>
    <mergeCell ref="R62:AA62"/>
    <mergeCell ref="O63:P63"/>
    <mergeCell ref="R63:AA63"/>
    <mergeCell ref="H33:J33"/>
    <mergeCell ref="K46:M46"/>
    <mergeCell ref="K47:M47"/>
    <mergeCell ref="AF61:AO61"/>
    <mergeCell ref="AF62:AO62"/>
    <mergeCell ref="AF63:AO63"/>
    <mergeCell ref="AF64:AO64"/>
    <mergeCell ref="AF65:AO65"/>
    <mergeCell ref="E21:J21"/>
    <mergeCell ref="A4:AA4"/>
    <mergeCell ref="A5:AA5"/>
    <mergeCell ref="A6:AA6"/>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AF73:AH82"/>
    <mergeCell ref="AI73:AO76"/>
    <mergeCell ref="AP73:AP76"/>
    <mergeCell ref="AI77:AO77"/>
    <mergeCell ref="AI78:AO78"/>
    <mergeCell ref="AI79:AO81"/>
    <mergeCell ref="AP79:AP81"/>
    <mergeCell ref="AI82:AO82"/>
    <mergeCell ref="AF66:AO66"/>
    <mergeCell ref="AF69:AO69"/>
    <mergeCell ref="AF70:AH70"/>
    <mergeCell ref="AI70:AO70"/>
    <mergeCell ref="AF71:AH72"/>
    <mergeCell ref="AI71:AO71"/>
    <mergeCell ref="AI72:AO72"/>
    <mergeCell ref="AF87:AH90"/>
    <mergeCell ref="AI87:AO87"/>
    <mergeCell ref="AI88:AO88"/>
    <mergeCell ref="AI89:AO89"/>
    <mergeCell ref="AI90:AO90"/>
    <mergeCell ref="AF83:AH86"/>
    <mergeCell ref="AI83:AO83"/>
    <mergeCell ref="AI84:AO84"/>
    <mergeCell ref="AI85:AO85"/>
    <mergeCell ref="AI86:AO86"/>
    <mergeCell ref="AF94:AH94"/>
    <mergeCell ref="AI94:AO94"/>
    <mergeCell ref="AF95:AH96"/>
    <mergeCell ref="AI95:AO95"/>
    <mergeCell ref="AI96:AO96"/>
    <mergeCell ref="AF91:AH92"/>
    <mergeCell ref="AI91:AO92"/>
    <mergeCell ref="AP91:AP92"/>
    <mergeCell ref="AF93:AH93"/>
    <mergeCell ref="AI93:AO93"/>
    <mergeCell ref="S8:U8"/>
    <mergeCell ref="AP111:AP114"/>
    <mergeCell ref="AF115:AH115"/>
    <mergeCell ref="AI115:AO115"/>
    <mergeCell ref="AI116:AO116"/>
    <mergeCell ref="AF104:AH105"/>
    <mergeCell ref="AI104:AO104"/>
    <mergeCell ref="AI105:AO105"/>
    <mergeCell ref="AF106:AH114"/>
    <mergeCell ref="AI106:AO106"/>
    <mergeCell ref="AI107:AO107"/>
    <mergeCell ref="AI108:AO108"/>
    <mergeCell ref="AI109:AO109"/>
    <mergeCell ref="AI110:AO110"/>
    <mergeCell ref="AI111:AO114"/>
    <mergeCell ref="AF97:AH99"/>
    <mergeCell ref="AI97:AO97"/>
    <mergeCell ref="AI98:AO99"/>
    <mergeCell ref="AP98:AP99"/>
    <mergeCell ref="AF100:AH103"/>
    <mergeCell ref="AI100:AO100"/>
    <mergeCell ref="AI101:AO101"/>
    <mergeCell ref="AI102:AO102"/>
    <mergeCell ref="AI103:AO103"/>
  </mergeCells>
  <phoneticPr fontId="57"/>
  <dataValidations count="4">
    <dataValidation type="list" allowBlank="1" showInputMessage="1" sqref="F116:F117 H67:H68 H70:H77 H79 H81:H82 H84 H102:H107 H120 I49:I50 K51:K53 L120 M49:M50 M107 N100 N104:N106 O67:O68 O70:O77 O79 O81:O82 O84 O102 P103 P120 Q100:Q101 Q116:Q117 R51 R107 T49:T50 T53 T100:T102 U104:U106 V67:V68 V70:V77 V79 V81:V82 V84 W107">
      <formula1>"□,☑"</formula1>
    </dataValidation>
    <dataValidation allowBlank="1" showInputMessage="1" showErrorMessage="1" sqref="F61 F65600 F131136 F196672 F262208 F327744 F393280 F458816 F524352 F589888 F655424 F720960 F786496 F852032 F917568 F983104 K61 K65600 K131136 K196672 K262208 K327744 K393280 K458816 K524352 K589888 K655424 K720960 K786496 K852032 K917568 K983104 P61 P65600 P131136 P196672 P262208 P327744 P393280 P458816 P524352 P589888 P655424 P720960 P786496 P852032 P917568 P983104 U61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dataValidation type="list" allowBlank="1" showInputMessage="1" showErrorMessage="1" sqref="O62:P62 O113:P113">
      <formula1>工事届用主要用途</formula1>
    </dataValidation>
    <dataValidation type="list" allowBlank="1" showInputMessage="1" showErrorMessage="1" sqref="O63:P64 O114:P115">
      <formula1>工事届用主要用途2</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heetViews>
  <sheetFormatPr defaultColWidth="2.625" defaultRowHeight="16.5" customHeight="1"/>
  <cols>
    <col min="1" max="1" width="14.625" style="16" customWidth="1"/>
    <col min="2" max="2" width="7.625" style="16" customWidth="1"/>
    <col min="3" max="3" width="20.625" style="16" customWidth="1"/>
    <col min="4" max="4" width="6.5" style="16" customWidth="1"/>
    <col min="5" max="5" width="9.75" style="16" customWidth="1"/>
    <col min="6" max="6" width="20" style="16" customWidth="1"/>
    <col min="7" max="7" width="12.375" style="16" customWidth="1"/>
    <col min="8" max="256" width="2.625" style="16" customWidth="1"/>
    <col min="257" max="257" width="14.625" style="16" customWidth="1"/>
    <col min="258" max="258" width="7.625" style="16" customWidth="1"/>
    <col min="259" max="259" width="20.625" style="16" customWidth="1"/>
    <col min="260" max="260" width="6.5" style="16" customWidth="1"/>
    <col min="261" max="261" width="9.75" style="16" customWidth="1"/>
    <col min="262" max="262" width="20" style="16" customWidth="1"/>
    <col min="263" max="263" width="12.375" style="16" customWidth="1"/>
    <col min="264" max="512" width="2.625" style="16" customWidth="1"/>
    <col min="513" max="513" width="14.625" style="16" customWidth="1"/>
    <col min="514" max="514" width="7.625" style="16" customWidth="1"/>
    <col min="515" max="515" width="20.625" style="16" customWidth="1"/>
    <col min="516" max="516" width="6.5" style="16" customWidth="1"/>
    <col min="517" max="517" width="9.75" style="16" customWidth="1"/>
    <col min="518" max="518" width="20" style="16" customWidth="1"/>
    <col min="519" max="519" width="12.375" style="16" customWidth="1"/>
    <col min="520" max="768" width="2.625" style="16" customWidth="1"/>
    <col min="769" max="769" width="14.625" style="16" customWidth="1"/>
    <col min="770" max="770" width="7.625" style="16" customWidth="1"/>
    <col min="771" max="771" width="20.625" style="16" customWidth="1"/>
    <col min="772" max="772" width="6.5" style="16" customWidth="1"/>
    <col min="773" max="773" width="9.75" style="16" customWidth="1"/>
    <col min="774" max="774" width="20" style="16" customWidth="1"/>
    <col min="775" max="775" width="12.375" style="16" customWidth="1"/>
    <col min="776" max="1024" width="2.625" style="16" customWidth="1"/>
    <col min="1025" max="1025" width="14.625" style="16" customWidth="1"/>
    <col min="1026" max="1026" width="7.625" style="16" customWidth="1"/>
    <col min="1027" max="1027" width="20.625" style="16" customWidth="1"/>
    <col min="1028" max="1028" width="6.5" style="16" customWidth="1"/>
    <col min="1029" max="1029" width="9.75" style="16" customWidth="1"/>
    <col min="1030" max="1030" width="20" style="16" customWidth="1"/>
    <col min="1031" max="1031" width="12.375" style="16" customWidth="1"/>
    <col min="1032" max="1280" width="2.625" style="16" customWidth="1"/>
    <col min="1281" max="1281" width="14.625" style="16" customWidth="1"/>
    <col min="1282" max="1282" width="7.625" style="16" customWidth="1"/>
    <col min="1283" max="1283" width="20.625" style="16" customWidth="1"/>
    <col min="1284" max="1284" width="6.5" style="16" customWidth="1"/>
    <col min="1285" max="1285" width="9.75" style="16" customWidth="1"/>
    <col min="1286" max="1286" width="20" style="16" customWidth="1"/>
    <col min="1287" max="1287" width="12.375" style="16" customWidth="1"/>
    <col min="1288" max="1536" width="2.625" style="16" customWidth="1"/>
    <col min="1537" max="1537" width="14.625" style="16" customWidth="1"/>
    <col min="1538" max="1538" width="7.625" style="16" customWidth="1"/>
    <col min="1539" max="1539" width="20.625" style="16" customWidth="1"/>
    <col min="1540" max="1540" width="6.5" style="16" customWidth="1"/>
    <col min="1541" max="1541" width="9.75" style="16" customWidth="1"/>
    <col min="1542" max="1542" width="20" style="16" customWidth="1"/>
    <col min="1543" max="1543" width="12.375" style="16" customWidth="1"/>
    <col min="1544" max="1792" width="2.625" style="16" customWidth="1"/>
    <col min="1793" max="1793" width="14.625" style="16" customWidth="1"/>
    <col min="1794" max="1794" width="7.625" style="16" customWidth="1"/>
    <col min="1795" max="1795" width="20.625" style="16" customWidth="1"/>
    <col min="1796" max="1796" width="6.5" style="16" customWidth="1"/>
    <col min="1797" max="1797" width="9.75" style="16" customWidth="1"/>
    <col min="1798" max="1798" width="20" style="16" customWidth="1"/>
    <col min="1799" max="1799" width="12.375" style="16" customWidth="1"/>
    <col min="1800" max="2048" width="2.625" style="16" customWidth="1"/>
    <col min="2049" max="2049" width="14.625" style="16" customWidth="1"/>
    <col min="2050" max="2050" width="7.625" style="16" customWidth="1"/>
    <col min="2051" max="2051" width="20.625" style="16" customWidth="1"/>
    <col min="2052" max="2052" width="6.5" style="16" customWidth="1"/>
    <col min="2053" max="2053" width="9.75" style="16" customWidth="1"/>
    <col min="2054" max="2054" width="20" style="16" customWidth="1"/>
    <col min="2055" max="2055" width="12.375" style="16" customWidth="1"/>
    <col min="2056" max="2304" width="2.625" style="16" customWidth="1"/>
    <col min="2305" max="2305" width="14.625" style="16" customWidth="1"/>
    <col min="2306" max="2306" width="7.625" style="16" customWidth="1"/>
    <col min="2307" max="2307" width="20.625" style="16" customWidth="1"/>
    <col min="2308" max="2308" width="6.5" style="16" customWidth="1"/>
    <col min="2309" max="2309" width="9.75" style="16" customWidth="1"/>
    <col min="2310" max="2310" width="20" style="16" customWidth="1"/>
    <col min="2311" max="2311" width="12.375" style="16" customWidth="1"/>
    <col min="2312" max="2560" width="2.625" style="16" customWidth="1"/>
    <col min="2561" max="2561" width="14.625" style="16" customWidth="1"/>
    <col min="2562" max="2562" width="7.625" style="16" customWidth="1"/>
    <col min="2563" max="2563" width="20.625" style="16" customWidth="1"/>
    <col min="2564" max="2564" width="6.5" style="16" customWidth="1"/>
    <col min="2565" max="2565" width="9.75" style="16" customWidth="1"/>
    <col min="2566" max="2566" width="20" style="16" customWidth="1"/>
    <col min="2567" max="2567" width="12.375" style="16" customWidth="1"/>
    <col min="2568" max="2816" width="2.625" style="16" customWidth="1"/>
    <col min="2817" max="2817" width="14.625" style="16" customWidth="1"/>
    <col min="2818" max="2818" width="7.625" style="16" customWidth="1"/>
    <col min="2819" max="2819" width="20.625" style="16" customWidth="1"/>
    <col min="2820" max="2820" width="6.5" style="16" customWidth="1"/>
    <col min="2821" max="2821" width="9.75" style="16" customWidth="1"/>
    <col min="2822" max="2822" width="20" style="16" customWidth="1"/>
    <col min="2823" max="2823" width="12.375" style="16" customWidth="1"/>
    <col min="2824" max="3072" width="2.625" style="16" customWidth="1"/>
    <col min="3073" max="3073" width="14.625" style="16" customWidth="1"/>
    <col min="3074" max="3074" width="7.625" style="16" customWidth="1"/>
    <col min="3075" max="3075" width="20.625" style="16" customWidth="1"/>
    <col min="3076" max="3076" width="6.5" style="16" customWidth="1"/>
    <col min="3077" max="3077" width="9.75" style="16" customWidth="1"/>
    <col min="3078" max="3078" width="20" style="16" customWidth="1"/>
    <col min="3079" max="3079" width="12.375" style="16" customWidth="1"/>
    <col min="3080" max="3328" width="2.625" style="16" customWidth="1"/>
    <col min="3329" max="3329" width="14.625" style="16" customWidth="1"/>
    <col min="3330" max="3330" width="7.625" style="16" customWidth="1"/>
    <col min="3331" max="3331" width="20.625" style="16" customWidth="1"/>
    <col min="3332" max="3332" width="6.5" style="16" customWidth="1"/>
    <col min="3333" max="3333" width="9.75" style="16" customWidth="1"/>
    <col min="3334" max="3334" width="20" style="16" customWidth="1"/>
    <col min="3335" max="3335" width="12.375" style="16" customWidth="1"/>
    <col min="3336" max="3584" width="2.625" style="16" customWidth="1"/>
    <col min="3585" max="3585" width="14.625" style="16" customWidth="1"/>
    <col min="3586" max="3586" width="7.625" style="16" customWidth="1"/>
    <col min="3587" max="3587" width="20.625" style="16" customWidth="1"/>
    <col min="3588" max="3588" width="6.5" style="16" customWidth="1"/>
    <col min="3589" max="3589" width="9.75" style="16" customWidth="1"/>
    <col min="3590" max="3590" width="20" style="16" customWidth="1"/>
    <col min="3591" max="3591" width="12.375" style="16" customWidth="1"/>
    <col min="3592" max="3840" width="2.625" style="16" customWidth="1"/>
    <col min="3841" max="3841" width="14.625" style="16" customWidth="1"/>
    <col min="3842" max="3842" width="7.625" style="16" customWidth="1"/>
    <col min="3843" max="3843" width="20.625" style="16" customWidth="1"/>
    <col min="3844" max="3844" width="6.5" style="16" customWidth="1"/>
    <col min="3845" max="3845" width="9.75" style="16" customWidth="1"/>
    <col min="3846" max="3846" width="20" style="16" customWidth="1"/>
    <col min="3847" max="3847" width="12.375" style="16" customWidth="1"/>
    <col min="3848" max="4096" width="2.625" style="16" customWidth="1"/>
    <col min="4097" max="4097" width="14.625" style="16" customWidth="1"/>
    <col min="4098" max="4098" width="7.625" style="16" customWidth="1"/>
    <col min="4099" max="4099" width="20.625" style="16" customWidth="1"/>
    <col min="4100" max="4100" width="6.5" style="16" customWidth="1"/>
    <col min="4101" max="4101" width="9.75" style="16" customWidth="1"/>
    <col min="4102" max="4102" width="20" style="16" customWidth="1"/>
    <col min="4103" max="4103" width="12.375" style="16" customWidth="1"/>
    <col min="4104" max="4352" width="2.625" style="16" customWidth="1"/>
    <col min="4353" max="4353" width="14.625" style="16" customWidth="1"/>
    <col min="4354" max="4354" width="7.625" style="16" customWidth="1"/>
    <col min="4355" max="4355" width="20.625" style="16" customWidth="1"/>
    <col min="4356" max="4356" width="6.5" style="16" customWidth="1"/>
    <col min="4357" max="4357" width="9.75" style="16" customWidth="1"/>
    <col min="4358" max="4358" width="20" style="16" customWidth="1"/>
    <col min="4359" max="4359" width="12.375" style="16" customWidth="1"/>
    <col min="4360" max="4608" width="2.625" style="16" customWidth="1"/>
    <col min="4609" max="4609" width="14.625" style="16" customWidth="1"/>
    <col min="4610" max="4610" width="7.625" style="16" customWidth="1"/>
    <col min="4611" max="4611" width="20.625" style="16" customWidth="1"/>
    <col min="4612" max="4612" width="6.5" style="16" customWidth="1"/>
    <col min="4613" max="4613" width="9.75" style="16" customWidth="1"/>
    <col min="4614" max="4614" width="20" style="16" customWidth="1"/>
    <col min="4615" max="4615" width="12.375" style="16" customWidth="1"/>
    <col min="4616" max="4864" width="2.625" style="16" customWidth="1"/>
    <col min="4865" max="4865" width="14.625" style="16" customWidth="1"/>
    <col min="4866" max="4866" width="7.625" style="16" customWidth="1"/>
    <col min="4867" max="4867" width="20.625" style="16" customWidth="1"/>
    <col min="4868" max="4868" width="6.5" style="16" customWidth="1"/>
    <col min="4869" max="4869" width="9.75" style="16" customWidth="1"/>
    <col min="4870" max="4870" width="20" style="16" customWidth="1"/>
    <col min="4871" max="4871" width="12.375" style="16" customWidth="1"/>
    <col min="4872" max="5120" width="2.625" style="16" customWidth="1"/>
    <col min="5121" max="5121" width="14.625" style="16" customWidth="1"/>
    <col min="5122" max="5122" width="7.625" style="16" customWidth="1"/>
    <col min="5123" max="5123" width="20.625" style="16" customWidth="1"/>
    <col min="5124" max="5124" width="6.5" style="16" customWidth="1"/>
    <col min="5125" max="5125" width="9.75" style="16" customWidth="1"/>
    <col min="5126" max="5126" width="20" style="16" customWidth="1"/>
    <col min="5127" max="5127" width="12.375" style="16" customWidth="1"/>
    <col min="5128" max="5376" width="2.625" style="16" customWidth="1"/>
    <col min="5377" max="5377" width="14.625" style="16" customWidth="1"/>
    <col min="5378" max="5378" width="7.625" style="16" customWidth="1"/>
    <col min="5379" max="5379" width="20.625" style="16" customWidth="1"/>
    <col min="5380" max="5380" width="6.5" style="16" customWidth="1"/>
    <col min="5381" max="5381" width="9.75" style="16" customWidth="1"/>
    <col min="5382" max="5382" width="20" style="16" customWidth="1"/>
    <col min="5383" max="5383" width="12.375" style="16" customWidth="1"/>
    <col min="5384" max="5632" width="2.625" style="16" customWidth="1"/>
    <col min="5633" max="5633" width="14.625" style="16" customWidth="1"/>
    <col min="5634" max="5634" width="7.625" style="16" customWidth="1"/>
    <col min="5635" max="5635" width="20.625" style="16" customWidth="1"/>
    <col min="5636" max="5636" width="6.5" style="16" customWidth="1"/>
    <col min="5637" max="5637" width="9.75" style="16" customWidth="1"/>
    <col min="5638" max="5638" width="20" style="16" customWidth="1"/>
    <col min="5639" max="5639" width="12.375" style="16" customWidth="1"/>
    <col min="5640" max="5888" width="2.625" style="16" customWidth="1"/>
    <col min="5889" max="5889" width="14.625" style="16" customWidth="1"/>
    <col min="5890" max="5890" width="7.625" style="16" customWidth="1"/>
    <col min="5891" max="5891" width="20.625" style="16" customWidth="1"/>
    <col min="5892" max="5892" width="6.5" style="16" customWidth="1"/>
    <col min="5893" max="5893" width="9.75" style="16" customWidth="1"/>
    <col min="5894" max="5894" width="20" style="16" customWidth="1"/>
    <col min="5895" max="5895" width="12.375" style="16" customWidth="1"/>
    <col min="5896" max="6144" width="2.625" style="16" customWidth="1"/>
    <col min="6145" max="6145" width="14.625" style="16" customWidth="1"/>
    <col min="6146" max="6146" width="7.625" style="16" customWidth="1"/>
    <col min="6147" max="6147" width="20.625" style="16" customWidth="1"/>
    <col min="6148" max="6148" width="6.5" style="16" customWidth="1"/>
    <col min="6149" max="6149" width="9.75" style="16" customWidth="1"/>
    <col min="6150" max="6150" width="20" style="16" customWidth="1"/>
    <col min="6151" max="6151" width="12.375" style="16" customWidth="1"/>
    <col min="6152" max="6400" width="2.625" style="16" customWidth="1"/>
    <col min="6401" max="6401" width="14.625" style="16" customWidth="1"/>
    <col min="6402" max="6402" width="7.625" style="16" customWidth="1"/>
    <col min="6403" max="6403" width="20.625" style="16" customWidth="1"/>
    <col min="6404" max="6404" width="6.5" style="16" customWidth="1"/>
    <col min="6405" max="6405" width="9.75" style="16" customWidth="1"/>
    <col min="6406" max="6406" width="20" style="16" customWidth="1"/>
    <col min="6407" max="6407" width="12.375" style="16" customWidth="1"/>
    <col min="6408" max="6656" width="2.625" style="16" customWidth="1"/>
    <col min="6657" max="6657" width="14.625" style="16" customWidth="1"/>
    <col min="6658" max="6658" width="7.625" style="16" customWidth="1"/>
    <col min="6659" max="6659" width="20.625" style="16" customWidth="1"/>
    <col min="6660" max="6660" width="6.5" style="16" customWidth="1"/>
    <col min="6661" max="6661" width="9.75" style="16" customWidth="1"/>
    <col min="6662" max="6662" width="20" style="16" customWidth="1"/>
    <col min="6663" max="6663" width="12.375" style="16" customWidth="1"/>
    <col min="6664" max="6912" width="2.625" style="16" customWidth="1"/>
    <col min="6913" max="6913" width="14.625" style="16" customWidth="1"/>
    <col min="6914" max="6914" width="7.625" style="16" customWidth="1"/>
    <col min="6915" max="6915" width="20.625" style="16" customWidth="1"/>
    <col min="6916" max="6916" width="6.5" style="16" customWidth="1"/>
    <col min="6917" max="6917" width="9.75" style="16" customWidth="1"/>
    <col min="6918" max="6918" width="20" style="16" customWidth="1"/>
    <col min="6919" max="6919" width="12.375" style="16" customWidth="1"/>
    <col min="6920" max="7168" width="2.625" style="16" customWidth="1"/>
    <col min="7169" max="7169" width="14.625" style="16" customWidth="1"/>
    <col min="7170" max="7170" width="7.625" style="16" customWidth="1"/>
    <col min="7171" max="7171" width="20.625" style="16" customWidth="1"/>
    <col min="7172" max="7172" width="6.5" style="16" customWidth="1"/>
    <col min="7173" max="7173" width="9.75" style="16" customWidth="1"/>
    <col min="7174" max="7174" width="20" style="16" customWidth="1"/>
    <col min="7175" max="7175" width="12.375" style="16" customWidth="1"/>
    <col min="7176" max="7424" width="2.625" style="16" customWidth="1"/>
    <col min="7425" max="7425" width="14.625" style="16" customWidth="1"/>
    <col min="7426" max="7426" width="7.625" style="16" customWidth="1"/>
    <col min="7427" max="7427" width="20.625" style="16" customWidth="1"/>
    <col min="7428" max="7428" width="6.5" style="16" customWidth="1"/>
    <col min="7429" max="7429" width="9.75" style="16" customWidth="1"/>
    <col min="7430" max="7430" width="20" style="16" customWidth="1"/>
    <col min="7431" max="7431" width="12.375" style="16" customWidth="1"/>
    <col min="7432" max="7680" width="2.625" style="16" customWidth="1"/>
    <col min="7681" max="7681" width="14.625" style="16" customWidth="1"/>
    <col min="7682" max="7682" width="7.625" style="16" customWidth="1"/>
    <col min="7683" max="7683" width="20.625" style="16" customWidth="1"/>
    <col min="7684" max="7684" width="6.5" style="16" customWidth="1"/>
    <col min="7685" max="7685" width="9.75" style="16" customWidth="1"/>
    <col min="7686" max="7686" width="20" style="16" customWidth="1"/>
    <col min="7687" max="7687" width="12.375" style="16" customWidth="1"/>
    <col min="7688" max="7936" width="2.625" style="16" customWidth="1"/>
    <col min="7937" max="7937" width="14.625" style="16" customWidth="1"/>
    <col min="7938" max="7938" width="7.625" style="16" customWidth="1"/>
    <col min="7939" max="7939" width="20.625" style="16" customWidth="1"/>
    <col min="7940" max="7940" width="6.5" style="16" customWidth="1"/>
    <col min="7941" max="7941" width="9.75" style="16" customWidth="1"/>
    <col min="7942" max="7942" width="20" style="16" customWidth="1"/>
    <col min="7943" max="7943" width="12.375" style="16" customWidth="1"/>
    <col min="7944" max="8192" width="2.625" style="16" customWidth="1"/>
    <col min="8193" max="8193" width="14.625" style="16" customWidth="1"/>
    <col min="8194" max="8194" width="7.625" style="16" customWidth="1"/>
    <col min="8195" max="8195" width="20.625" style="16" customWidth="1"/>
    <col min="8196" max="8196" width="6.5" style="16" customWidth="1"/>
    <col min="8197" max="8197" width="9.75" style="16" customWidth="1"/>
    <col min="8198" max="8198" width="20" style="16" customWidth="1"/>
    <col min="8199" max="8199" width="12.375" style="16" customWidth="1"/>
    <col min="8200" max="8448" width="2.625" style="16" customWidth="1"/>
    <col min="8449" max="8449" width="14.625" style="16" customWidth="1"/>
    <col min="8450" max="8450" width="7.625" style="16" customWidth="1"/>
    <col min="8451" max="8451" width="20.625" style="16" customWidth="1"/>
    <col min="8452" max="8452" width="6.5" style="16" customWidth="1"/>
    <col min="8453" max="8453" width="9.75" style="16" customWidth="1"/>
    <col min="8454" max="8454" width="20" style="16" customWidth="1"/>
    <col min="8455" max="8455" width="12.375" style="16" customWidth="1"/>
    <col min="8456" max="8704" width="2.625" style="16" customWidth="1"/>
    <col min="8705" max="8705" width="14.625" style="16" customWidth="1"/>
    <col min="8706" max="8706" width="7.625" style="16" customWidth="1"/>
    <col min="8707" max="8707" width="20.625" style="16" customWidth="1"/>
    <col min="8708" max="8708" width="6.5" style="16" customWidth="1"/>
    <col min="8709" max="8709" width="9.75" style="16" customWidth="1"/>
    <col min="8710" max="8710" width="20" style="16" customWidth="1"/>
    <col min="8711" max="8711" width="12.375" style="16" customWidth="1"/>
    <col min="8712" max="8960" width="2.625" style="16" customWidth="1"/>
    <col min="8961" max="8961" width="14.625" style="16" customWidth="1"/>
    <col min="8962" max="8962" width="7.625" style="16" customWidth="1"/>
    <col min="8963" max="8963" width="20.625" style="16" customWidth="1"/>
    <col min="8964" max="8964" width="6.5" style="16" customWidth="1"/>
    <col min="8965" max="8965" width="9.75" style="16" customWidth="1"/>
    <col min="8966" max="8966" width="20" style="16" customWidth="1"/>
    <col min="8967" max="8967" width="12.375" style="16" customWidth="1"/>
    <col min="8968" max="9216" width="2.625" style="16" customWidth="1"/>
    <col min="9217" max="9217" width="14.625" style="16" customWidth="1"/>
    <col min="9218" max="9218" width="7.625" style="16" customWidth="1"/>
    <col min="9219" max="9219" width="20.625" style="16" customWidth="1"/>
    <col min="9220" max="9220" width="6.5" style="16" customWidth="1"/>
    <col min="9221" max="9221" width="9.75" style="16" customWidth="1"/>
    <col min="9222" max="9222" width="20" style="16" customWidth="1"/>
    <col min="9223" max="9223" width="12.375" style="16" customWidth="1"/>
    <col min="9224" max="9472" width="2.625" style="16" customWidth="1"/>
    <col min="9473" max="9473" width="14.625" style="16" customWidth="1"/>
    <col min="9474" max="9474" width="7.625" style="16" customWidth="1"/>
    <col min="9475" max="9475" width="20.625" style="16" customWidth="1"/>
    <col min="9476" max="9476" width="6.5" style="16" customWidth="1"/>
    <col min="9477" max="9477" width="9.75" style="16" customWidth="1"/>
    <col min="9478" max="9478" width="20" style="16" customWidth="1"/>
    <col min="9479" max="9479" width="12.375" style="16" customWidth="1"/>
    <col min="9480" max="9728" width="2.625" style="16" customWidth="1"/>
    <col min="9729" max="9729" width="14.625" style="16" customWidth="1"/>
    <col min="9730" max="9730" width="7.625" style="16" customWidth="1"/>
    <col min="9731" max="9731" width="20.625" style="16" customWidth="1"/>
    <col min="9732" max="9732" width="6.5" style="16" customWidth="1"/>
    <col min="9733" max="9733" width="9.75" style="16" customWidth="1"/>
    <col min="9734" max="9734" width="20" style="16" customWidth="1"/>
    <col min="9735" max="9735" width="12.375" style="16" customWidth="1"/>
    <col min="9736" max="9984" width="2.625" style="16" customWidth="1"/>
    <col min="9985" max="9985" width="14.625" style="16" customWidth="1"/>
    <col min="9986" max="9986" width="7.625" style="16" customWidth="1"/>
    <col min="9987" max="9987" width="20.625" style="16" customWidth="1"/>
    <col min="9988" max="9988" width="6.5" style="16" customWidth="1"/>
    <col min="9989" max="9989" width="9.75" style="16" customWidth="1"/>
    <col min="9990" max="9990" width="20" style="16" customWidth="1"/>
    <col min="9991" max="9991" width="12.375" style="16" customWidth="1"/>
    <col min="9992" max="10240" width="2.625" style="16" customWidth="1"/>
    <col min="10241" max="10241" width="14.625" style="16" customWidth="1"/>
    <col min="10242" max="10242" width="7.625" style="16" customWidth="1"/>
    <col min="10243" max="10243" width="20.625" style="16" customWidth="1"/>
    <col min="10244" max="10244" width="6.5" style="16" customWidth="1"/>
    <col min="10245" max="10245" width="9.75" style="16" customWidth="1"/>
    <col min="10246" max="10246" width="20" style="16" customWidth="1"/>
    <col min="10247" max="10247" width="12.375" style="16" customWidth="1"/>
    <col min="10248" max="10496" width="2.625" style="16" customWidth="1"/>
    <col min="10497" max="10497" width="14.625" style="16" customWidth="1"/>
    <col min="10498" max="10498" width="7.625" style="16" customWidth="1"/>
    <col min="10499" max="10499" width="20.625" style="16" customWidth="1"/>
    <col min="10500" max="10500" width="6.5" style="16" customWidth="1"/>
    <col min="10501" max="10501" width="9.75" style="16" customWidth="1"/>
    <col min="10502" max="10502" width="20" style="16" customWidth="1"/>
    <col min="10503" max="10503" width="12.375" style="16" customWidth="1"/>
    <col min="10504" max="10752" width="2.625" style="16" customWidth="1"/>
    <col min="10753" max="10753" width="14.625" style="16" customWidth="1"/>
    <col min="10754" max="10754" width="7.625" style="16" customWidth="1"/>
    <col min="10755" max="10755" width="20.625" style="16" customWidth="1"/>
    <col min="10756" max="10756" width="6.5" style="16" customWidth="1"/>
    <col min="10757" max="10757" width="9.75" style="16" customWidth="1"/>
    <col min="10758" max="10758" width="20" style="16" customWidth="1"/>
    <col min="10759" max="10759" width="12.375" style="16" customWidth="1"/>
    <col min="10760" max="11008" width="2.625" style="16" customWidth="1"/>
    <col min="11009" max="11009" width="14.625" style="16" customWidth="1"/>
    <col min="11010" max="11010" width="7.625" style="16" customWidth="1"/>
    <col min="11011" max="11011" width="20.625" style="16" customWidth="1"/>
    <col min="11012" max="11012" width="6.5" style="16" customWidth="1"/>
    <col min="11013" max="11013" width="9.75" style="16" customWidth="1"/>
    <col min="11014" max="11014" width="20" style="16" customWidth="1"/>
    <col min="11015" max="11015" width="12.375" style="16" customWidth="1"/>
    <col min="11016" max="11264" width="2.625" style="16" customWidth="1"/>
    <col min="11265" max="11265" width="14.625" style="16" customWidth="1"/>
    <col min="11266" max="11266" width="7.625" style="16" customWidth="1"/>
    <col min="11267" max="11267" width="20.625" style="16" customWidth="1"/>
    <col min="11268" max="11268" width="6.5" style="16" customWidth="1"/>
    <col min="11269" max="11269" width="9.75" style="16" customWidth="1"/>
    <col min="11270" max="11270" width="20" style="16" customWidth="1"/>
    <col min="11271" max="11271" width="12.375" style="16" customWidth="1"/>
    <col min="11272" max="11520" width="2.625" style="16" customWidth="1"/>
    <col min="11521" max="11521" width="14.625" style="16" customWidth="1"/>
    <col min="11522" max="11522" width="7.625" style="16" customWidth="1"/>
    <col min="11523" max="11523" width="20.625" style="16" customWidth="1"/>
    <col min="11524" max="11524" width="6.5" style="16" customWidth="1"/>
    <col min="11525" max="11525" width="9.75" style="16" customWidth="1"/>
    <col min="11526" max="11526" width="20" style="16" customWidth="1"/>
    <col min="11527" max="11527" width="12.375" style="16" customWidth="1"/>
    <col min="11528" max="11776" width="2.625" style="16" customWidth="1"/>
    <col min="11777" max="11777" width="14.625" style="16" customWidth="1"/>
    <col min="11778" max="11778" width="7.625" style="16" customWidth="1"/>
    <col min="11779" max="11779" width="20.625" style="16" customWidth="1"/>
    <col min="11780" max="11780" width="6.5" style="16" customWidth="1"/>
    <col min="11781" max="11781" width="9.75" style="16" customWidth="1"/>
    <col min="11782" max="11782" width="20" style="16" customWidth="1"/>
    <col min="11783" max="11783" width="12.375" style="16" customWidth="1"/>
    <col min="11784" max="12032" width="2.625" style="16" customWidth="1"/>
    <col min="12033" max="12033" width="14.625" style="16" customWidth="1"/>
    <col min="12034" max="12034" width="7.625" style="16" customWidth="1"/>
    <col min="12035" max="12035" width="20.625" style="16" customWidth="1"/>
    <col min="12036" max="12036" width="6.5" style="16" customWidth="1"/>
    <col min="12037" max="12037" width="9.75" style="16" customWidth="1"/>
    <col min="12038" max="12038" width="20" style="16" customWidth="1"/>
    <col min="12039" max="12039" width="12.375" style="16" customWidth="1"/>
    <col min="12040" max="12288" width="2.625" style="16" customWidth="1"/>
    <col min="12289" max="12289" width="14.625" style="16" customWidth="1"/>
    <col min="12290" max="12290" width="7.625" style="16" customWidth="1"/>
    <col min="12291" max="12291" width="20.625" style="16" customWidth="1"/>
    <col min="12292" max="12292" width="6.5" style="16" customWidth="1"/>
    <col min="12293" max="12293" width="9.75" style="16" customWidth="1"/>
    <col min="12294" max="12294" width="20" style="16" customWidth="1"/>
    <col min="12295" max="12295" width="12.375" style="16" customWidth="1"/>
    <col min="12296" max="12544" width="2.625" style="16" customWidth="1"/>
    <col min="12545" max="12545" width="14.625" style="16" customWidth="1"/>
    <col min="12546" max="12546" width="7.625" style="16" customWidth="1"/>
    <col min="12547" max="12547" width="20.625" style="16" customWidth="1"/>
    <col min="12548" max="12548" width="6.5" style="16" customWidth="1"/>
    <col min="12549" max="12549" width="9.75" style="16" customWidth="1"/>
    <col min="12550" max="12550" width="20" style="16" customWidth="1"/>
    <col min="12551" max="12551" width="12.375" style="16" customWidth="1"/>
    <col min="12552" max="12800" width="2.625" style="16" customWidth="1"/>
    <col min="12801" max="12801" width="14.625" style="16" customWidth="1"/>
    <col min="12802" max="12802" width="7.625" style="16" customWidth="1"/>
    <col min="12803" max="12803" width="20.625" style="16" customWidth="1"/>
    <col min="12804" max="12804" width="6.5" style="16" customWidth="1"/>
    <col min="12805" max="12805" width="9.75" style="16" customWidth="1"/>
    <col min="12806" max="12806" width="20" style="16" customWidth="1"/>
    <col min="12807" max="12807" width="12.375" style="16" customWidth="1"/>
    <col min="12808" max="13056" width="2.625" style="16" customWidth="1"/>
    <col min="13057" max="13057" width="14.625" style="16" customWidth="1"/>
    <col min="13058" max="13058" width="7.625" style="16" customWidth="1"/>
    <col min="13059" max="13059" width="20.625" style="16" customWidth="1"/>
    <col min="13060" max="13060" width="6.5" style="16" customWidth="1"/>
    <col min="13061" max="13061" width="9.75" style="16" customWidth="1"/>
    <col min="13062" max="13062" width="20" style="16" customWidth="1"/>
    <col min="13063" max="13063" width="12.375" style="16" customWidth="1"/>
    <col min="13064" max="13312" width="2.625" style="16" customWidth="1"/>
    <col min="13313" max="13313" width="14.625" style="16" customWidth="1"/>
    <col min="13314" max="13314" width="7.625" style="16" customWidth="1"/>
    <col min="13315" max="13315" width="20.625" style="16" customWidth="1"/>
    <col min="13316" max="13316" width="6.5" style="16" customWidth="1"/>
    <col min="13317" max="13317" width="9.75" style="16" customWidth="1"/>
    <col min="13318" max="13318" width="20" style="16" customWidth="1"/>
    <col min="13319" max="13319" width="12.375" style="16" customWidth="1"/>
    <col min="13320" max="13568" width="2.625" style="16" customWidth="1"/>
    <col min="13569" max="13569" width="14.625" style="16" customWidth="1"/>
    <col min="13570" max="13570" width="7.625" style="16" customWidth="1"/>
    <col min="13571" max="13571" width="20.625" style="16" customWidth="1"/>
    <col min="13572" max="13572" width="6.5" style="16" customWidth="1"/>
    <col min="13573" max="13573" width="9.75" style="16" customWidth="1"/>
    <col min="13574" max="13574" width="20" style="16" customWidth="1"/>
    <col min="13575" max="13575" width="12.375" style="16" customWidth="1"/>
    <col min="13576" max="13824" width="2.625" style="16" customWidth="1"/>
    <col min="13825" max="13825" width="14.625" style="16" customWidth="1"/>
    <col min="13826" max="13826" width="7.625" style="16" customWidth="1"/>
    <col min="13827" max="13827" width="20.625" style="16" customWidth="1"/>
    <col min="13828" max="13828" width="6.5" style="16" customWidth="1"/>
    <col min="13829" max="13829" width="9.75" style="16" customWidth="1"/>
    <col min="13830" max="13830" width="20" style="16" customWidth="1"/>
    <col min="13831" max="13831" width="12.375" style="16" customWidth="1"/>
    <col min="13832" max="14080" width="2.625" style="16" customWidth="1"/>
    <col min="14081" max="14081" width="14.625" style="16" customWidth="1"/>
    <col min="14082" max="14082" width="7.625" style="16" customWidth="1"/>
    <col min="14083" max="14083" width="20.625" style="16" customWidth="1"/>
    <col min="14084" max="14084" width="6.5" style="16" customWidth="1"/>
    <col min="14085" max="14085" width="9.75" style="16" customWidth="1"/>
    <col min="14086" max="14086" width="20" style="16" customWidth="1"/>
    <col min="14087" max="14087" width="12.375" style="16" customWidth="1"/>
    <col min="14088" max="14336" width="2.625" style="16" customWidth="1"/>
    <col min="14337" max="14337" width="14.625" style="16" customWidth="1"/>
    <col min="14338" max="14338" width="7.625" style="16" customWidth="1"/>
    <col min="14339" max="14339" width="20.625" style="16" customWidth="1"/>
    <col min="14340" max="14340" width="6.5" style="16" customWidth="1"/>
    <col min="14341" max="14341" width="9.75" style="16" customWidth="1"/>
    <col min="14342" max="14342" width="20" style="16" customWidth="1"/>
    <col min="14343" max="14343" width="12.375" style="16" customWidth="1"/>
    <col min="14344" max="14592" width="2.625" style="16" customWidth="1"/>
    <col min="14593" max="14593" width="14.625" style="16" customWidth="1"/>
    <col min="14594" max="14594" width="7.625" style="16" customWidth="1"/>
    <col min="14595" max="14595" width="20.625" style="16" customWidth="1"/>
    <col min="14596" max="14596" width="6.5" style="16" customWidth="1"/>
    <col min="14597" max="14597" width="9.75" style="16" customWidth="1"/>
    <col min="14598" max="14598" width="20" style="16" customWidth="1"/>
    <col min="14599" max="14599" width="12.375" style="16" customWidth="1"/>
    <col min="14600" max="14848" width="2.625" style="16" customWidth="1"/>
    <col min="14849" max="14849" width="14.625" style="16" customWidth="1"/>
    <col min="14850" max="14850" width="7.625" style="16" customWidth="1"/>
    <col min="14851" max="14851" width="20.625" style="16" customWidth="1"/>
    <col min="14852" max="14852" width="6.5" style="16" customWidth="1"/>
    <col min="14853" max="14853" width="9.75" style="16" customWidth="1"/>
    <col min="14854" max="14854" width="20" style="16" customWidth="1"/>
    <col min="14855" max="14855" width="12.375" style="16" customWidth="1"/>
    <col min="14856" max="15104" width="2.625" style="16" customWidth="1"/>
    <col min="15105" max="15105" width="14.625" style="16" customWidth="1"/>
    <col min="15106" max="15106" width="7.625" style="16" customWidth="1"/>
    <col min="15107" max="15107" width="20.625" style="16" customWidth="1"/>
    <col min="15108" max="15108" width="6.5" style="16" customWidth="1"/>
    <col min="15109" max="15109" width="9.75" style="16" customWidth="1"/>
    <col min="15110" max="15110" width="20" style="16" customWidth="1"/>
    <col min="15111" max="15111" width="12.375" style="16" customWidth="1"/>
    <col min="15112" max="15360" width="2.625" style="16" customWidth="1"/>
    <col min="15361" max="15361" width="14.625" style="16" customWidth="1"/>
    <col min="15362" max="15362" width="7.625" style="16" customWidth="1"/>
    <col min="15363" max="15363" width="20.625" style="16" customWidth="1"/>
    <col min="15364" max="15364" width="6.5" style="16" customWidth="1"/>
    <col min="15365" max="15365" width="9.75" style="16" customWidth="1"/>
    <col min="15366" max="15366" width="20" style="16" customWidth="1"/>
    <col min="15367" max="15367" width="12.375" style="16" customWidth="1"/>
    <col min="15368" max="15616" width="2.625" style="16" customWidth="1"/>
    <col min="15617" max="15617" width="14.625" style="16" customWidth="1"/>
    <col min="15618" max="15618" width="7.625" style="16" customWidth="1"/>
    <col min="15619" max="15619" width="20.625" style="16" customWidth="1"/>
    <col min="15620" max="15620" width="6.5" style="16" customWidth="1"/>
    <col min="15621" max="15621" width="9.75" style="16" customWidth="1"/>
    <col min="15622" max="15622" width="20" style="16" customWidth="1"/>
    <col min="15623" max="15623" width="12.375" style="16" customWidth="1"/>
    <col min="15624" max="15872" width="2.625" style="16" customWidth="1"/>
    <col min="15873" max="15873" width="14.625" style="16" customWidth="1"/>
    <col min="15874" max="15874" width="7.625" style="16" customWidth="1"/>
    <col min="15875" max="15875" width="20.625" style="16" customWidth="1"/>
    <col min="15876" max="15876" width="6.5" style="16" customWidth="1"/>
    <col min="15877" max="15877" width="9.75" style="16" customWidth="1"/>
    <col min="15878" max="15878" width="20" style="16" customWidth="1"/>
    <col min="15879" max="15879" width="12.375" style="16" customWidth="1"/>
    <col min="15880" max="16128" width="2.625" style="16" customWidth="1"/>
    <col min="16129" max="16129" width="14.625" style="16" customWidth="1"/>
    <col min="16130" max="16130" width="7.625" style="16" customWidth="1"/>
    <col min="16131" max="16131" width="20.625" style="16" customWidth="1"/>
    <col min="16132" max="16132" width="6.5" style="16" customWidth="1"/>
    <col min="16133" max="16133" width="9.75" style="16" customWidth="1"/>
    <col min="16134" max="16134" width="20" style="16" customWidth="1"/>
    <col min="16135" max="16135" width="12.375" style="16" customWidth="1"/>
    <col min="16136" max="16384" width="2.625" style="16" customWidth="1"/>
  </cols>
  <sheetData>
    <row r="1" spans="1:8" ht="22.5" customHeight="1">
      <c r="A1" s="599" t="s">
        <v>95</v>
      </c>
      <c r="B1" s="599"/>
      <c r="C1" s="599"/>
      <c r="D1" s="599"/>
      <c r="E1" s="599"/>
      <c r="F1" s="599"/>
      <c r="G1" s="599"/>
    </row>
    <row r="2" spans="1:8" ht="22.5" customHeight="1">
      <c r="A2" s="600" t="s">
        <v>646</v>
      </c>
      <c r="B2" s="600"/>
      <c r="C2" s="600"/>
      <c r="D2" s="600"/>
      <c r="E2" s="600"/>
      <c r="F2" s="600"/>
      <c r="G2" s="600"/>
    </row>
    <row r="3" spans="1:8" ht="53.25" customHeight="1">
      <c r="A3" s="281"/>
      <c r="B3" s="269" t="s">
        <v>2777</v>
      </c>
      <c r="C3" s="268" t="s">
        <v>2778</v>
      </c>
      <c r="D3" s="269" t="s">
        <v>2779</v>
      </c>
      <c r="E3" s="269" t="s">
        <v>2780</v>
      </c>
      <c r="F3" s="282" t="s">
        <v>2781</v>
      </c>
      <c r="G3" s="269" t="s">
        <v>2782</v>
      </c>
    </row>
    <row r="4" spans="1:8" ht="60.75" customHeight="1">
      <c r="A4" s="283" t="s">
        <v>2783</v>
      </c>
      <c r="B4" s="284"/>
      <c r="C4" s="284"/>
      <c r="D4" s="284"/>
      <c r="E4" s="284"/>
      <c r="F4" s="284"/>
      <c r="G4" s="284"/>
      <c r="H4" s="15"/>
    </row>
    <row r="5" spans="1:8" ht="72" customHeight="1">
      <c r="A5" s="283" t="s">
        <v>2784</v>
      </c>
      <c r="B5" s="284"/>
      <c r="C5" s="284"/>
      <c r="D5" s="284"/>
      <c r="E5" s="284"/>
      <c r="F5" s="284"/>
      <c r="G5" s="284"/>
      <c r="H5" s="15"/>
    </row>
    <row r="6" spans="1:8" ht="63" customHeight="1">
      <c r="A6" s="283" t="s">
        <v>2785</v>
      </c>
      <c r="B6" s="284"/>
      <c r="C6" s="284"/>
      <c r="D6" s="284"/>
      <c r="E6" s="284"/>
      <c r="F6" s="284"/>
      <c r="G6" s="284"/>
      <c r="H6" s="15"/>
    </row>
    <row r="7" spans="1:8" ht="62.25" customHeight="1">
      <c r="A7" s="283" t="s">
        <v>2786</v>
      </c>
      <c r="B7" s="284"/>
      <c r="C7" s="284"/>
      <c r="D7" s="284"/>
      <c r="E7" s="284"/>
      <c r="F7" s="284"/>
      <c r="G7" s="284"/>
      <c r="H7" s="15"/>
    </row>
    <row r="8" spans="1:8" ht="60" customHeight="1">
      <c r="A8" s="283" t="s">
        <v>2787</v>
      </c>
      <c r="B8" s="284"/>
      <c r="C8" s="284"/>
      <c r="D8" s="284"/>
      <c r="E8" s="284"/>
      <c r="F8" s="284"/>
      <c r="G8" s="284"/>
      <c r="H8" s="15"/>
    </row>
    <row r="9" spans="1:8" ht="65.25" customHeight="1">
      <c r="A9" s="283" t="s">
        <v>2788</v>
      </c>
      <c r="B9" s="284"/>
      <c r="C9" s="284"/>
      <c r="D9" s="284"/>
      <c r="E9" s="284"/>
      <c r="F9" s="284"/>
      <c r="G9" s="284"/>
      <c r="H9" s="15"/>
    </row>
    <row r="10" spans="1:8" ht="68.25" customHeight="1">
      <c r="A10" s="283" t="s">
        <v>2789</v>
      </c>
      <c r="B10" s="284"/>
      <c r="C10" s="284"/>
      <c r="D10" s="284"/>
      <c r="E10" s="284"/>
      <c r="F10" s="284"/>
      <c r="G10" s="284"/>
      <c r="H10" s="15"/>
    </row>
    <row r="11" spans="1:8" ht="66" customHeight="1">
      <c r="A11" s="269" t="s">
        <v>2790</v>
      </c>
      <c r="B11" s="284"/>
      <c r="C11" s="284"/>
      <c r="D11" s="284"/>
      <c r="E11" s="284"/>
      <c r="F11" s="284"/>
      <c r="G11" s="284"/>
      <c r="H11" s="15"/>
    </row>
    <row r="12" spans="1:8" ht="60.75" customHeight="1">
      <c r="A12" s="283" t="s">
        <v>2791</v>
      </c>
      <c r="B12" s="284"/>
      <c r="C12" s="284"/>
      <c r="D12" s="284"/>
      <c r="E12" s="284"/>
      <c r="F12" s="284"/>
      <c r="G12" s="284"/>
      <c r="H12" s="15"/>
    </row>
    <row r="13" spans="1:8" ht="81" customHeight="1">
      <c r="A13" s="283" t="s">
        <v>2792</v>
      </c>
      <c r="B13" s="284"/>
      <c r="C13" s="284"/>
      <c r="D13" s="284"/>
      <c r="E13" s="284"/>
      <c r="F13" s="284"/>
      <c r="G13" s="284"/>
      <c r="H13" s="15"/>
    </row>
    <row r="14" spans="1:8" ht="44.25" customHeight="1">
      <c r="A14" s="268" t="s">
        <v>2793</v>
      </c>
      <c r="B14" s="284"/>
      <c r="C14" s="284"/>
      <c r="D14" s="284"/>
      <c r="E14" s="284"/>
      <c r="F14" s="284"/>
      <c r="G14" s="284"/>
      <c r="H14" s="15"/>
    </row>
    <row r="15" spans="1:8" ht="16.5" customHeight="1">
      <c r="A15" s="15"/>
      <c r="B15" s="15"/>
      <c r="C15" s="15"/>
      <c r="D15" s="15"/>
      <c r="E15" s="15"/>
      <c r="F15" s="15"/>
      <c r="G15" s="15"/>
      <c r="H15" s="15"/>
    </row>
    <row r="16" spans="1:8" ht="16.5" customHeight="1">
      <c r="A16" s="15"/>
      <c r="B16" s="15"/>
      <c r="C16" s="15"/>
      <c r="D16" s="15"/>
      <c r="E16" s="15"/>
      <c r="F16" s="15"/>
      <c r="G16" s="15"/>
      <c r="H16" s="15"/>
    </row>
    <row r="17" spans="1:8" ht="16.5" customHeight="1">
      <c r="A17" s="15"/>
      <c r="B17" s="15"/>
      <c r="C17" s="15"/>
      <c r="D17" s="15"/>
      <c r="E17" s="15"/>
      <c r="F17" s="15"/>
      <c r="G17" s="15"/>
      <c r="H17" s="15"/>
    </row>
    <row r="18" spans="1:8" ht="16.5" customHeight="1">
      <c r="A18" s="15"/>
      <c r="B18" s="15"/>
      <c r="C18" s="15"/>
      <c r="D18" s="15"/>
      <c r="E18" s="15"/>
      <c r="F18" s="15"/>
      <c r="G18" s="15"/>
      <c r="H18" s="15"/>
    </row>
    <row r="19" spans="1:8" ht="16.5" customHeight="1">
      <c r="A19" s="15"/>
      <c r="B19" s="15"/>
      <c r="C19" s="15"/>
      <c r="D19" s="15"/>
      <c r="E19" s="15"/>
      <c r="F19" s="15"/>
      <c r="G19" s="15"/>
      <c r="H19" s="15"/>
    </row>
    <row r="20" spans="1:8" ht="16.5" customHeight="1">
      <c r="A20" s="15"/>
      <c r="B20" s="15"/>
      <c r="C20" s="15"/>
      <c r="D20" s="15"/>
      <c r="E20" s="15"/>
      <c r="F20" s="15"/>
      <c r="G20" s="15"/>
      <c r="H20" s="15"/>
    </row>
    <row r="21" spans="1:8" ht="16.5" customHeight="1">
      <c r="A21" s="15"/>
      <c r="B21" s="15"/>
      <c r="C21" s="15"/>
      <c r="D21" s="15"/>
      <c r="E21" s="15"/>
      <c r="F21" s="15"/>
      <c r="G21" s="15"/>
      <c r="H21" s="15"/>
    </row>
    <row r="22" spans="1:8" ht="16.5" customHeight="1">
      <c r="A22" s="15"/>
      <c r="B22" s="15"/>
      <c r="C22" s="15"/>
      <c r="D22" s="15"/>
      <c r="E22" s="15"/>
      <c r="F22" s="15"/>
      <c r="G22" s="15"/>
      <c r="H22" s="15"/>
    </row>
    <row r="23" spans="1:8" ht="16.5" customHeight="1">
      <c r="A23" s="15"/>
      <c r="B23" s="15"/>
      <c r="C23" s="15"/>
      <c r="D23" s="15"/>
      <c r="E23" s="15"/>
      <c r="F23" s="15"/>
      <c r="G23" s="15"/>
      <c r="H23" s="15"/>
    </row>
    <row r="24" spans="1:8" ht="16.5" customHeight="1">
      <c r="A24" s="15"/>
      <c r="B24" s="15"/>
      <c r="C24" s="15"/>
      <c r="D24" s="15"/>
      <c r="E24" s="15"/>
      <c r="F24" s="15"/>
      <c r="G24" s="15"/>
      <c r="H24" s="15"/>
    </row>
    <row r="25" spans="1:8" ht="16.5" customHeight="1">
      <c r="A25" s="15"/>
      <c r="B25" s="15"/>
      <c r="C25" s="15"/>
      <c r="D25" s="15"/>
      <c r="E25" s="15"/>
      <c r="F25" s="15"/>
      <c r="G25" s="15"/>
      <c r="H25" s="15"/>
    </row>
    <row r="26" spans="1:8" ht="16.5" customHeight="1">
      <c r="A26" s="15"/>
      <c r="B26" s="15"/>
      <c r="C26" s="15"/>
      <c r="D26" s="15"/>
      <c r="E26" s="15"/>
      <c r="F26" s="15"/>
      <c r="G26" s="15"/>
      <c r="H26" s="15"/>
    </row>
    <row r="27" spans="1:8" ht="16.5" customHeight="1">
      <c r="A27" s="15"/>
      <c r="B27" s="15"/>
      <c r="C27" s="15"/>
      <c r="D27" s="15"/>
      <c r="E27" s="15"/>
      <c r="F27" s="15"/>
      <c r="G27" s="15"/>
      <c r="H27" s="15"/>
    </row>
    <row r="28" spans="1:8" ht="16.5" customHeight="1">
      <c r="A28" s="15"/>
      <c r="B28" s="15"/>
      <c r="C28" s="15"/>
      <c r="D28" s="15"/>
      <c r="E28" s="15"/>
      <c r="F28" s="15"/>
      <c r="G28" s="15"/>
      <c r="H28" s="15"/>
    </row>
    <row r="29" spans="1:8" ht="16.5" customHeight="1">
      <c r="A29" s="15"/>
      <c r="B29" s="15"/>
      <c r="C29" s="15"/>
      <c r="D29" s="15"/>
      <c r="E29" s="15"/>
      <c r="F29" s="15"/>
      <c r="G29" s="15"/>
      <c r="H29" s="15"/>
    </row>
    <row r="30" spans="1:8" ht="16.5" customHeight="1">
      <c r="A30" s="15"/>
      <c r="B30" s="15"/>
      <c r="C30" s="15"/>
      <c r="D30" s="15"/>
      <c r="E30" s="15"/>
      <c r="F30" s="15"/>
      <c r="G30" s="15"/>
      <c r="H30" s="15"/>
    </row>
    <row r="31" spans="1:8" ht="16.5" customHeight="1">
      <c r="A31" s="15"/>
      <c r="B31" s="15"/>
      <c r="C31" s="15"/>
      <c r="D31" s="15"/>
      <c r="E31" s="15"/>
      <c r="F31" s="15"/>
      <c r="G31" s="15"/>
      <c r="H31" s="15"/>
    </row>
    <row r="32" spans="1:8" ht="16.5" customHeight="1">
      <c r="A32" s="15"/>
      <c r="B32" s="15"/>
      <c r="C32" s="15"/>
      <c r="D32" s="15"/>
      <c r="E32" s="15"/>
      <c r="F32" s="15"/>
      <c r="G32" s="15"/>
      <c r="H32" s="15"/>
    </row>
    <row r="33" spans="1:8" ht="16.5" customHeight="1">
      <c r="A33" s="15"/>
      <c r="B33" s="15"/>
      <c r="C33" s="15"/>
      <c r="D33" s="15"/>
      <c r="E33" s="15"/>
      <c r="F33" s="15"/>
      <c r="G33" s="15"/>
      <c r="H33" s="15"/>
    </row>
    <row r="34" spans="1:8" ht="16.5" customHeight="1">
      <c r="A34" s="15"/>
      <c r="B34" s="15"/>
      <c r="C34" s="15"/>
      <c r="D34" s="15"/>
      <c r="E34" s="15"/>
      <c r="F34" s="15"/>
      <c r="G34" s="15"/>
      <c r="H34" s="15"/>
    </row>
    <row r="35" spans="1:8" ht="16.5" customHeight="1">
      <c r="A35" s="15"/>
      <c r="B35" s="15"/>
      <c r="C35" s="15"/>
      <c r="D35" s="15"/>
      <c r="E35" s="15"/>
      <c r="F35" s="15"/>
      <c r="G35" s="15"/>
      <c r="H35" s="15"/>
    </row>
    <row r="36" spans="1:8" ht="16.5" customHeight="1">
      <c r="A36" s="15"/>
      <c r="B36" s="15"/>
      <c r="C36" s="15"/>
      <c r="D36" s="15"/>
      <c r="E36" s="15"/>
      <c r="F36" s="15"/>
      <c r="G36" s="15"/>
      <c r="H36" s="15"/>
    </row>
    <row r="37" spans="1:8" ht="16.5" customHeight="1">
      <c r="A37" s="15"/>
      <c r="B37" s="15"/>
      <c r="C37" s="15"/>
      <c r="D37" s="15"/>
      <c r="E37" s="15"/>
      <c r="F37" s="15"/>
      <c r="G37" s="15"/>
      <c r="H37" s="15"/>
    </row>
    <row r="38" spans="1:8" ht="16.5" customHeight="1">
      <c r="A38" s="15"/>
      <c r="B38" s="15"/>
      <c r="C38" s="15"/>
      <c r="D38" s="15"/>
      <c r="E38" s="15"/>
      <c r="F38" s="15"/>
      <c r="G38" s="15"/>
      <c r="H38" s="15"/>
    </row>
  </sheetData>
  <mergeCells count="2">
    <mergeCell ref="A1:G1"/>
    <mergeCell ref="A2:G2"/>
  </mergeCells>
  <phoneticPr fontId="57"/>
  <printOptions horizontalCentered="1"/>
  <pageMargins left="0.39370078740157483" right="0.39370078740157483" top="0.78740157480314965" bottom="0.55118110236220474"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zoomScale="80" zoomScaleNormal="80" workbookViewId="0"/>
  </sheetViews>
  <sheetFormatPr defaultColWidth="2.625" defaultRowHeight="16.5" customHeight="1"/>
  <cols>
    <col min="1" max="18" width="3.125" style="423" customWidth="1"/>
    <col min="19" max="256" width="2.625" style="423" customWidth="1"/>
    <col min="257" max="257" width="14.625" style="423" customWidth="1"/>
    <col min="258" max="258" width="7.625" style="423" customWidth="1"/>
    <col min="259" max="259" width="20.625" style="423" customWidth="1"/>
    <col min="260" max="260" width="6.5" style="423" customWidth="1"/>
    <col min="261" max="261" width="9.75" style="423" customWidth="1"/>
    <col min="262" max="262" width="20" style="423" customWidth="1"/>
    <col min="263" max="263" width="12.375" style="423" customWidth="1"/>
    <col min="264" max="512" width="2.625" style="423" customWidth="1"/>
    <col min="513" max="513" width="14.625" style="423" customWidth="1"/>
    <col min="514" max="514" width="7.625" style="423" customWidth="1"/>
    <col min="515" max="515" width="20.625" style="423" customWidth="1"/>
    <col min="516" max="516" width="6.5" style="423" customWidth="1"/>
    <col min="517" max="517" width="9.75" style="423" customWidth="1"/>
    <col min="518" max="518" width="20" style="423" customWidth="1"/>
    <col min="519" max="519" width="12.375" style="423" customWidth="1"/>
    <col min="520" max="768" width="2.625" style="423" customWidth="1"/>
    <col min="769" max="769" width="14.625" style="423" customWidth="1"/>
    <col min="770" max="770" width="7.625" style="423" customWidth="1"/>
    <col min="771" max="771" width="20.625" style="423" customWidth="1"/>
    <col min="772" max="772" width="6.5" style="423" customWidth="1"/>
    <col min="773" max="773" width="9.75" style="423" customWidth="1"/>
    <col min="774" max="774" width="20" style="423" customWidth="1"/>
    <col min="775" max="775" width="12.375" style="423" customWidth="1"/>
    <col min="776" max="1024" width="2.625" style="423" customWidth="1"/>
    <col min="1025" max="1025" width="14.625" style="423" customWidth="1"/>
    <col min="1026" max="1026" width="7.625" style="423" customWidth="1"/>
    <col min="1027" max="1027" width="20.625" style="423" customWidth="1"/>
    <col min="1028" max="1028" width="6.5" style="423" customWidth="1"/>
    <col min="1029" max="1029" width="9.75" style="423" customWidth="1"/>
    <col min="1030" max="1030" width="20" style="423" customWidth="1"/>
    <col min="1031" max="1031" width="12.375" style="423" customWidth="1"/>
    <col min="1032" max="1280" width="2.625" style="423" customWidth="1"/>
    <col min="1281" max="1281" width="14.625" style="423" customWidth="1"/>
    <col min="1282" max="1282" width="7.625" style="423" customWidth="1"/>
    <col min="1283" max="1283" width="20.625" style="423" customWidth="1"/>
    <col min="1284" max="1284" width="6.5" style="423" customWidth="1"/>
    <col min="1285" max="1285" width="9.75" style="423" customWidth="1"/>
    <col min="1286" max="1286" width="20" style="423" customWidth="1"/>
    <col min="1287" max="1287" width="12.375" style="423" customWidth="1"/>
    <col min="1288" max="1536" width="2.625" style="423" customWidth="1"/>
    <col min="1537" max="1537" width="14.625" style="423" customWidth="1"/>
    <col min="1538" max="1538" width="7.625" style="423" customWidth="1"/>
    <col min="1539" max="1539" width="20.625" style="423" customWidth="1"/>
    <col min="1540" max="1540" width="6.5" style="423" customWidth="1"/>
    <col min="1541" max="1541" width="9.75" style="423" customWidth="1"/>
    <col min="1542" max="1542" width="20" style="423" customWidth="1"/>
    <col min="1543" max="1543" width="12.375" style="423" customWidth="1"/>
    <col min="1544" max="1792" width="2.625" style="423" customWidth="1"/>
    <col min="1793" max="1793" width="14.625" style="423" customWidth="1"/>
    <col min="1794" max="1794" width="7.625" style="423" customWidth="1"/>
    <col min="1795" max="1795" width="20.625" style="423" customWidth="1"/>
    <col min="1796" max="1796" width="6.5" style="423" customWidth="1"/>
    <col min="1797" max="1797" width="9.75" style="423" customWidth="1"/>
    <col min="1798" max="1798" width="20" style="423" customWidth="1"/>
    <col min="1799" max="1799" width="12.375" style="423" customWidth="1"/>
    <col min="1800" max="2048" width="2.625" style="423" customWidth="1"/>
    <col min="2049" max="2049" width="14.625" style="423" customWidth="1"/>
    <col min="2050" max="2050" width="7.625" style="423" customWidth="1"/>
    <col min="2051" max="2051" width="20.625" style="423" customWidth="1"/>
    <col min="2052" max="2052" width="6.5" style="423" customWidth="1"/>
    <col min="2053" max="2053" width="9.75" style="423" customWidth="1"/>
    <col min="2054" max="2054" width="20" style="423" customWidth="1"/>
    <col min="2055" max="2055" width="12.375" style="423" customWidth="1"/>
    <col min="2056" max="2304" width="2.625" style="423" customWidth="1"/>
    <col min="2305" max="2305" width="14.625" style="423" customWidth="1"/>
    <col min="2306" max="2306" width="7.625" style="423" customWidth="1"/>
    <col min="2307" max="2307" width="20.625" style="423" customWidth="1"/>
    <col min="2308" max="2308" width="6.5" style="423" customWidth="1"/>
    <col min="2309" max="2309" width="9.75" style="423" customWidth="1"/>
    <col min="2310" max="2310" width="20" style="423" customWidth="1"/>
    <col min="2311" max="2311" width="12.375" style="423" customWidth="1"/>
    <col min="2312" max="2560" width="2.625" style="423" customWidth="1"/>
    <col min="2561" max="2561" width="14.625" style="423" customWidth="1"/>
    <col min="2562" max="2562" width="7.625" style="423" customWidth="1"/>
    <col min="2563" max="2563" width="20.625" style="423" customWidth="1"/>
    <col min="2564" max="2564" width="6.5" style="423" customWidth="1"/>
    <col min="2565" max="2565" width="9.75" style="423" customWidth="1"/>
    <col min="2566" max="2566" width="20" style="423" customWidth="1"/>
    <col min="2567" max="2567" width="12.375" style="423" customWidth="1"/>
    <col min="2568" max="2816" width="2.625" style="423" customWidth="1"/>
    <col min="2817" max="2817" width="14.625" style="423" customWidth="1"/>
    <col min="2818" max="2818" width="7.625" style="423" customWidth="1"/>
    <col min="2819" max="2819" width="20.625" style="423" customWidth="1"/>
    <col min="2820" max="2820" width="6.5" style="423" customWidth="1"/>
    <col min="2821" max="2821" width="9.75" style="423" customWidth="1"/>
    <col min="2822" max="2822" width="20" style="423" customWidth="1"/>
    <col min="2823" max="2823" width="12.375" style="423" customWidth="1"/>
    <col min="2824" max="3072" width="2.625" style="423" customWidth="1"/>
    <col min="3073" max="3073" width="14.625" style="423" customWidth="1"/>
    <col min="3074" max="3074" width="7.625" style="423" customWidth="1"/>
    <col min="3075" max="3075" width="20.625" style="423" customWidth="1"/>
    <col min="3076" max="3076" width="6.5" style="423" customWidth="1"/>
    <col min="3077" max="3077" width="9.75" style="423" customWidth="1"/>
    <col min="3078" max="3078" width="20" style="423" customWidth="1"/>
    <col min="3079" max="3079" width="12.375" style="423" customWidth="1"/>
    <col min="3080" max="3328" width="2.625" style="423" customWidth="1"/>
    <col min="3329" max="3329" width="14.625" style="423" customWidth="1"/>
    <col min="3330" max="3330" width="7.625" style="423" customWidth="1"/>
    <col min="3331" max="3331" width="20.625" style="423" customWidth="1"/>
    <col min="3332" max="3332" width="6.5" style="423" customWidth="1"/>
    <col min="3333" max="3333" width="9.75" style="423" customWidth="1"/>
    <col min="3334" max="3334" width="20" style="423" customWidth="1"/>
    <col min="3335" max="3335" width="12.375" style="423" customWidth="1"/>
    <col min="3336" max="3584" width="2.625" style="423" customWidth="1"/>
    <col min="3585" max="3585" width="14.625" style="423" customWidth="1"/>
    <col min="3586" max="3586" width="7.625" style="423" customWidth="1"/>
    <col min="3587" max="3587" width="20.625" style="423" customWidth="1"/>
    <col min="3588" max="3588" width="6.5" style="423" customWidth="1"/>
    <col min="3589" max="3589" width="9.75" style="423" customWidth="1"/>
    <col min="3590" max="3590" width="20" style="423" customWidth="1"/>
    <col min="3591" max="3591" width="12.375" style="423" customWidth="1"/>
    <col min="3592" max="3840" width="2.625" style="423" customWidth="1"/>
    <col min="3841" max="3841" width="14.625" style="423" customWidth="1"/>
    <col min="3842" max="3842" width="7.625" style="423" customWidth="1"/>
    <col min="3843" max="3843" width="20.625" style="423" customWidth="1"/>
    <col min="3844" max="3844" width="6.5" style="423" customWidth="1"/>
    <col min="3845" max="3845" width="9.75" style="423" customWidth="1"/>
    <col min="3846" max="3846" width="20" style="423" customWidth="1"/>
    <col min="3847" max="3847" width="12.375" style="423" customWidth="1"/>
    <col min="3848" max="4096" width="2.625" style="423" customWidth="1"/>
    <col min="4097" max="4097" width="14.625" style="423" customWidth="1"/>
    <col min="4098" max="4098" width="7.625" style="423" customWidth="1"/>
    <col min="4099" max="4099" width="20.625" style="423" customWidth="1"/>
    <col min="4100" max="4100" width="6.5" style="423" customWidth="1"/>
    <col min="4101" max="4101" width="9.75" style="423" customWidth="1"/>
    <col min="4102" max="4102" width="20" style="423" customWidth="1"/>
    <col min="4103" max="4103" width="12.375" style="423" customWidth="1"/>
    <col min="4104" max="4352" width="2.625" style="423" customWidth="1"/>
    <col min="4353" max="4353" width="14.625" style="423" customWidth="1"/>
    <col min="4354" max="4354" width="7.625" style="423" customWidth="1"/>
    <col min="4355" max="4355" width="20.625" style="423" customWidth="1"/>
    <col min="4356" max="4356" width="6.5" style="423" customWidth="1"/>
    <col min="4357" max="4357" width="9.75" style="423" customWidth="1"/>
    <col min="4358" max="4358" width="20" style="423" customWidth="1"/>
    <col min="4359" max="4359" width="12.375" style="423" customWidth="1"/>
    <col min="4360" max="4608" width="2.625" style="423" customWidth="1"/>
    <col min="4609" max="4609" width="14.625" style="423" customWidth="1"/>
    <col min="4610" max="4610" width="7.625" style="423" customWidth="1"/>
    <col min="4611" max="4611" width="20.625" style="423" customWidth="1"/>
    <col min="4612" max="4612" width="6.5" style="423" customWidth="1"/>
    <col min="4613" max="4613" width="9.75" style="423" customWidth="1"/>
    <col min="4614" max="4614" width="20" style="423" customWidth="1"/>
    <col min="4615" max="4615" width="12.375" style="423" customWidth="1"/>
    <col min="4616" max="4864" width="2.625" style="423" customWidth="1"/>
    <col min="4865" max="4865" width="14.625" style="423" customWidth="1"/>
    <col min="4866" max="4866" width="7.625" style="423" customWidth="1"/>
    <col min="4867" max="4867" width="20.625" style="423" customWidth="1"/>
    <col min="4868" max="4868" width="6.5" style="423" customWidth="1"/>
    <col min="4869" max="4869" width="9.75" style="423" customWidth="1"/>
    <col min="4870" max="4870" width="20" style="423" customWidth="1"/>
    <col min="4871" max="4871" width="12.375" style="423" customWidth="1"/>
    <col min="4872" max="5120" width="2.625" style="423" customWidth="1"/>
    <col min="5121" max="5121" width="14.625" style="423" customWidth="1"/>
    <col min="5122" max="5122" width="7.625" style="423" customWidth="1"/>
    <col min="5123" max="5123" width="20.625" style="423" customWidth="1"/>
    <col min="5124" max="5124" width="6.5" style="423" customWidth="1"/>
    <col min="5125" max="5125" width="9.75" style="423" customWidth="1"/>
    <col min="5126" max="5126" width="20" style="423" customWidth="1"/>
    <col min="5127" max="5127" width="12.375" style="423" customWidth="1"/>
    <col min="5128" max="5376" width="2.625" style="423" customWidth="1"/>
    <col min="5377" max="5377" width="14.625" style="423" customWidth="1"/>
    <col min="5378" max="5378" width="7.625" style="423" customWidth="1"/>
    <col min="5379" max="5379" width="20.625" style="423" customWidth="1"/>
    <col min="5380" max="5380" width="6.5" style="423" customWidth="1"/>
    <col min="5381" max="5381" width="9.75" style="423" customWidth="1"/>
    <col min="5382" max="5382" width="20" style="423" customWidth="1"/>
    <col min="5383" max="5383" width="12.375" style="423" customWidth="1"/>
    <col min="5384" max="5632" width="2.625" style="423" customWidth="1"/>
    <col min="5633" max="5633" width="14.625" style="423" customWidth="1"/>
    <col min="5634" max="5634" width="7.625" style="423" customWidth="1"/>
    <col min="5635" max="5635" width="20.625" style="423" customWidth="1"/>
    <col min="5636" max="5636" width="6.5" style="423" customWidth="1"/>
    <col min="5637" max="5637" width="9.75" style="423" customWidth="1"/>
    <col min="5638" max="5638" width="20" style="423" customWidth="1"/>
    <col min="5639" max="5639" width="12.375" style="423" customWidth="1"/>
    <col min="5640" max="5888" width="2.625" style="423" customWidth="1"/>
    <col min="5889" max="5889" width="14.625" style="423" customWidth="1"/>
    <col min="5890" max="5890" width="7.625" style="423" customWidth="1"/>
    <col min="5891" max="5891" width="20.625" style="423" customWidth="1"/>
    <col min="5892" max="5892" width="6.5" style="423" customWidth="1"/>
    <col min="5893" max="5893" width="9.75" style="423" customWidth="1"/>
    <col min="5894" max="5894" width="20" style="423" customWidth="1"/>
    <col min="5895" max="5895" width="12.375" style="423" customWidth="1"/>
    <col min="5896" max="6144" width="2.625" style="423" customWidth="1"/>
    <col min="6145" max="6145" width="14.625" style="423" customWidth="1"/>
    <col min="6146" max="6146" width="7.625" style="423" customWidth="1"/>
    <col min="6147" max="6147" width="20.625" style="423" customWidth="1"/>
    <col min="6148" max="6148" width="6.5" style="423" customWidth="1"/>
    <col min="6149" max="6149" width="9.75" style="423" customWidth="1"/>
    <col min="6150" max="6150" width="20" style="423" customWidth="1"/>
    <col min="6151" max="6151" width="12.375" style="423" customWidth="1"/>
    <col min="6152" max="6400" width="2.625" style="423" customWidth="1"/>
    <col min="6401" max="6401" width="14.625" style="423" customWidth="1"/>
    <col min="6402" max="6402" width="7.625" style="423" customWidth="1"/>
    <col min="6403" max="6403" width="20.625" style="423" customWidth="1"/>
    <col min="6404" max="6404" width="6.5" style="423" customWidth="1"/>
    <col min="6405" max="6405" width="9.75" style="423" customWidth="1"/>
    <col min="6406" max="6406" width="20" style="423" customWidth="1"/>
    <col min="6407" max="6407" width="12.375" style="423" customWidth="1"/>
    <col min="6408" max="6656" width="2.625" style="423" customWidth="1"/>
    <col min="6657" max="6657" width="14.625" style="423" customWidth="1"/>
    <col min="6658" max="6658" width="7.625" style="423" customWidth="1"/>
    <col min="6659" max="6659" width="20.625" style="423" customWidth="1"/>
    <col min="6660" max="6660" width="6.5" style="423" customWidth="1"/>
    <col min="6661" max="6661" width="9.75" style="423" customWidth="1"/>
    <col min="6662" max="6662" width="20" style="423" customWidth="1"/>
    <col min="6663" max="6663" width="12.375" style="423" customWidth="1"/>
    <col min="6664" max="6912" width="2.625" style="423" customWidth="1"/>
    <col min="6913" max="6913" width="14.625" style="423" customWidth="1"/>
    <col min="6914" max="6914" width="7.625" style="423" customWidth="1"/>
    <col min="6915" max="6915" width="20.625" style="423" customWidth="1"/>
    <col min="6916" max="6916" width="6.5" style="423" customWidth="1"/>
    <col min="6917" max="6917" width="9.75" style="423" customWidth="1"/>
    <col min="6918" max="6918" width="20" style="423" customWidth="1"/>
    <col min="6919" max="6919" width="12.375" style="423" customWidth="1"/>
    <col min="6920" max="7168" width="2.625" style="423" customWidth="1"/>
    <col min="7169" max="7169" width="14.625" style="423" customWidth="1"/>
    <col min="7170" max="7170" width="7.625" style="423" customWidth="1"/>
    <col min="7171" max="7171" width="20.625" style="423" customWidth="1"/>
    <col min="7172" max="7172" width="6.5" style="423" customWidth="1"/>
    <col min="7173" max="7173" width="9.75" style="423" customWidth="1"/>
    <col min="7174" max="7174" width="20" style="423" customWidth="1"/>
    <col min="7175" max="7175" width="12.375" style="423" customWidth="1"/>
    <col min="7176" max="7424" width="2.625" style="423" customWidth="1"/>
    <col min="7425" max="7425" width="14.625" style="423" customWidth="1"/>
    <col min="7426" max="7426" width="7.625" style="423" customWidth="1"/>
    <col min="7427" max="7427" width="20.625" style="423" customWidth="1"/>
    <col min="7428" max="7428" width="6.5" style="423" customWidth="1"/>
    <col min="7429" max="7429" width="9.75" style="423" customWidth="1"/>
    <col min="7430" max="7430" width="20" style="423" customWidth="1"/>
    <col min="7431" max="7431" width="12.375" style="423" customWidth="1"/>
    <col min="7432" max="7680" width="2.625" style="423" customWidth="1"/>
    <col min="7681" max="7681" width="14.625" style="423" customWidth="1"/>
    <col min="7682" max="7682" width="7.625" style="423" customWidth="1"/>
    <col min="7683" max="7683" width="20.625" style="423" customWidth="1"/>
    <col min="7684" max="7684" width="6.5" style="423" customWidth="1"/>
    <col min="7685" max="7685" width="9.75" style="423" customWidth="1"/>
    <col min="7686" max="7686" width="20" style="423" customWidth="1"/>
    <col min="7687" max="7687" width="12.375" style="423" customWidth="1"/>
    <col min="7688" max="7936" width="2.625" style="423" customWidth="1"/>
    <col min="7937" max="7937" width="14.625" style="423" customWidth="1"/>
    <col min="7938" max="7938" width="7.625" style="423" customWidth="1"/>
    <col min="7939" max="7939" width="20.625" style="423" customWidth="1"/>
    <col min="7940" max="7940" width="6.5" style="423" customWidth="1"/>
    <col min="7941" max="7941" width="9.75" style="423" customWidth="1"/>
    <col min="7942" max="7942" width="20" style="423" customWidth="1"/>
    <col min="7943" max="7943" width="12.375" style="423" customWidth="1"/>
    <col min="7944" max="8192" width="2.625" style="423" customWidth="1"/>
    <col min="8193" max="8193" width="14.625" style="423" customWidth="1"/>
    <col min="8194" max="8194" width="7.625" style="423" customWidth="1"/>
    <col min="8195" max="8195" width="20.625" style="423" customWidth="1"/>
    <col min="8196" max="8196" width="6.5" style="423" customWidth="1"/>
    <col min="8197" max="8197" width="9.75" style="423" customWidth="1"/>
    <col min="8198" max="8198" width="20" style="423" customWidth="1"/>
    <col min="8199" max="8199" width="12.375" style="423" customWidth="1"/>
    <col min="8200" max="8448" width="2.625" style="423" customWidth="1"/>
    <col min="8449" max="8449" width="14.625" style="423" customWidth="1"/>
    <col min="8450" max="8450" width="7.625" style="423" customWidth="1"/>
    <col min="8451" max="8451" width="20.625" style="423" customWidth="1"/>
    <col min="8452" max="8452" width="6.5" style="423" customWidth="1"/>
    <col min="8453" max="8453" width="9.75" style="423" customWidth="1"/>
    <col min="8454" max="8454" width="20" style="423" customWidth="1"/>
    <col min="8455" max="8455" width="12.375" style="423" customWidth="1"/>
    <col min="8456" max="8704" width="2.625" style="423" customWidth="1"/>
    <col min="8705" max="8705" width="14.625" style="423" customWidth="1"/>
    <col min="8706" max="8706" width="7.625" style="423" customWidth="1"/>
    <col min="8707" max="8707" width="20.625" style="423" customWidth="1"/>
    <col min="8708" max="8708" width="6.5" style="423" customWidth="1"/>
    <col min="8709" max="8709" width="9.75" style="423" customWidth="1"/>
    <col min="8710" max="8710" width="20" style="423" customWidth="1"/>
    <col min="8711" max="8711" width="12.375" style="423" customWidth="1"/>
    <col min="8712" max="8960" width="2.625" style="423" customWidth="1"/>
    <col min="8961" max="8961" width="14.625" style="423" customWidth="1"/>
    <col min="8962" max="8962" width="7.625" style="423" customWidth="1"/>
    <col min="8963" max="8963" width="20.625" style="423" customWidth="1"/>
    <col min="8964" max="8964" width="6.5" style="423" customWidth="1"/>
    <col min="8965" max="8965" width="9.75" style="423" customWidth="1"/>
    <col min="8966" max="8966" width="20" style="423" customWidth="1"/>
    <col min="8967" max="8967" width="12.375" style="423" customWidth="1"/>
    <col min="8968" max="9216" width="2.625" style="423" customWidth="1"/>
    <col min="9217" max="9217" width="14.625" style="423" customWidth="1"/>
    <col min="9218" max="9218" width="7.625" style="423" customWidth="1"/>
    <col min="9219" max="9219" width="20.625" style="423" customWidth="1"/>
    <col min="9220" max="9220" width="6.5" style="423" customWidth="1"/>
    <col min="9221" max="9221" width="9.75" style="423" customWidth="1"/>
    <col min="9222" max="9222" width="20" style="423" customWidth="1"/>
    <col min="9223" max="9223" width="12.375" style="423" customWidth="1"/>
    <col min="9224" max="9472" width="2.625" style="423" customWidth="1"/>
    <col min="9473" max="9473" width="14.625" style="423" customWidth="1"/>
    <col min="9474" max="9474" width="7.625" style="423" customWidth="1"/>
    <col min="9475" max="9475" width="20.625" style="423" customWidth="1"/>
    <col min="9476" max="9476" width="6.5" style="423" customWidth="1"/>
    <col min="9477" max="9477" width="9.75" style="423" customWidth="1"/>
    <col min="9478" max="9478" width="20" style="423" customWidth="1"/>
    <col min="9479" max="9479" width="12.375" style="423" customWidth="1"/>
    <col min="9480" max="9728" width="2.625" style="423" customWidth="1"/>
    <col min="9729" max="9729" width="14.625" style="423" customWidth="1"/>
    <col min="9730" max="9730" width="7.625" style="423" customWidth="1"/>
    <col min="9731" max="9731" width="20.625" style="423" customWidth="1"/>
    <col min="9732" max="9732" width="6.5" style="423" customWidth="1"/>
    <col min="9733" max="9733" width="9.75" style="423" customWidth="1"/>
    <col min="9734" max="9734" width="20" style="423" customWidth="1"/>
    <col min="9735" max="9735" width="12.375" style="423" customWidth="1"/>
    <col min="9736" max="9984" width="2.625" style="423" customWidth="1"/>
    <col min="9985" max="9985" width="14.625" style="423" customWidth="1"/>
    <col min="9986" max="9986" width="7.625" style="423" customWidth="1"/>
    <col min="9987" max="9987" width="20.625" style="423" customWidth="1"/>
    <col min="9988" max="9988" width="6.5" style="423" customWidth="1"/>
    <col min="9989" max="9989" width="9.75" style="423" customWidth="1"/>
    <col min="9990" max="9990" width="20" style="423" customWidth="1"/>
    <col min="9991" max="9991" width="12.375" style="423" customWidth="1"/>
    <col min="9992" max="10240" width="2.625" style="423" customWidth="1"/>
    <col min="10241" max="10241" width="14.625" style="423" customWidth="1"/>
    <col min="10242" max="10242" width="7.625" style="423" customWidth="1"/>
    <col min="10243" max="10243" width="20.625" style="423" customWidth="1"/>
    <col min="10244" max="10244" width="6.5" style="423" customWidth="1"/>
    <col min="10245" max="10245" width="9.75" style="423" customWidth="1"/>
    <col min="10246" max="10246" width="20" style="423" customWidth="1"/>
    <col min="10247" max="10247" width="12.375" style="423" customWidth="1"/>
    <col min="10248" max="10496" width="2.625" style="423" customWidth="1"/>
    <col min="10497" max="10497" width="14.625" style="423" customWidth="1"/>
    <col min="10498" max="10498" width="7.625" style="423" customWidth="1"/>
    <col min="10499" max="10499" width="20.625" style="423" customWidth="1"/>
    <col min="10500" max="10500" width="6.5" style="423" customWidth="1"/>
    <col min="10501" max="10501" width="9.75" style="423" customWidth="1"/>
    <col min="10502" max="10502" width="20" style="423" customWidth="1"/>
    <col min="10503" max="10503" width="12.375" style="423" customWidth="1"/>
    <col min="10504" max="10752" width="2.625" style="423" customWidth="1"/>
    <col min="10753" max="10753" width="14.625" style="423" customWidth="1"/>
    <col min="10754" max="10754" width="7.625" style="423" customWidth="1"/>
    <col min="10755" max="10755" width="20.625" style="423" customWidth="1"/>
    <col min="10756" max="10756" width="6.5" style="423" customWidth="1"/>
    <col min="10757" max="10757" width="9.75" style="423" customWidth="1"/>
    <col min="10758" max="10758" width="20" style="423" customWidth="1"/>
    <col min="10759" max="10759" width="12.375" style="423" customWidth="1"/>
    <col min="10760" max="11008" width="2.625" style="423" customWidth="1"/>
    <col min="11009" max="11009" width="14.625" style="423" customWidth="1"/>
    <col min="11010" max="11010" width="7.625" style="423" customWidth="1"/>
    <col min="11011" max="11011" width="20.625" style="423" customWidth="1"/>
    <col min="11012" max="11012" width="6.5" style="423" customWidth="1"/>
    <col min="11013" max="11013" width="9.75" style="423" customWidth="1"/>
    <col min="11014" max="11014" width="20" style="423" customWidth="1"/>
    <col min="11015" max="11015" width="12.375" style="423" customWidth="1"/>
    <col min="11016" max="11264" width="2.625" style="423" customWidth="1"/>
    <col min="11265" max="11265" width="14.625" style="423" customWidth="1"/>
    <col min="11266" max="11266" width="7.625" style="423" customWidth="1"/>
    <col min="11267" max="11267" width="20.625" style="423" customWidth="1"/>
    <col min="11268" max="11268" width="6.5" style="423" customWidth="1"/>
    <col min="11269" max="11269" width="9.75" style="423" customWidth="1"/>
    <col min="11270" max="11270" width="20" style="423" customWidth="1"/>
    <col min="11271" max="11271" width="12.375" style="423" customWidth="1"/>
    <col min="11272" max="11520" width="2.625" style="423" customWidth="1"/>
    <col min="11521" max="11521" width="14.625" style="423" customWidth="1"/>
    <col min="11522" max="11522" width="7.625" style="423" customWidth="1"/>
    <col min="11523" max="11523" width="20.625" style="423" customWidth="1"/>
    <col min="11524" max="11524" width="6.5" style="423" customWidth="1"/>
    <col min="11525" max="11525" width="9.75" style="423" customWidth="1"/>
    <col min="11526" max="11526" width="20" style="423" customWidth="1"/>
    <col min="11527" max="11527" width="12.375" style="423" customWidth="1"/>
    <col min="11528" max="11776" width="2.625" style="423" customWidth="1"/>
    <col min="11777" max="11777" width="14.625" style="423" customWidth="1"/>
    <col min="11778" max="11778" width="7.625" style="423" customWidth="1"/>
    <col min="11779" max="11779" width="20.625" style="423" customWidth="1"/>
    <col min="11780" max="11780" width="6.5" style="423" customWidth="1"/>
    <col min="11781" max="11781" width="9.75" style="423" customWidth="1"/>
    <col min="11782" max="11782" width="20" style="423" customWidth="1"/>
    <col min="11783" max="11783" width="12.375" style="423" customWidth="1"/>
    <col min="11784" max="12032" width="2.625" style="423" customWidth="1"/>
    <col min="12033" max="12033" width="14.625" style="423" customWidth="1"/>
    <col min="12034" max="12034" width="7.625" style="423" customWidth="1"/>
    <col min="12035" max="12035" width="20.625" style="423" customWidth="1"/>
    <col min="12036" max="12036" width="6.5" style="423" customWidth="1"/>
    <col min="12037" max="12037" width="9.75" style="423" customWidth="1"/>
    <col min="12038" max="12038" width="20" style="423" customWidth="1"/>
    <col min="12039" max="12039" width="12.375" style="423" customWidth="1"/>
    <col min="12040" max="12288" width="2.625" style="423" customWidth="1"/>
    <col min="12289" max="12289" width="14.625" style="423" customWidth="1"/>
    <col min="12290" max="12290" width="7.625" style="423" customWidth="1"/>
    <col min="12291" max="12291" width="20.625" style="423" customWidth="1"/>
    <col min="12292" max="12292" width="6.5" style="423" customWidth="1"/>
    <col min="12293" max="12293" width="9.75" style="423" customWidth="1"/>
    <col min="12294" max="12294" width="20" style="423" customWidth="1"/>
    <col min="12295" max="12295" width="12.375" style="423" customWidth="1"/>
    <col min="12296" max="12544" width="2.625" style="423" customWidth="1"/>
    <col min="12545" max="12545" width="14.625" style="423" customWidth="1"/>
    <col min="12546" max="12546" width="7.625" style="423" customWidth="1"/>
    <col min="12547" max="12547" width="20.625" style="423" customWidth="1"/>
    <col min="12548" max="12548" width="6.5" style="423" customWidth="1"/>
    <col min="12549" max="12549" width="9.75" style="423" customWidth="1"/>
    <col min="12550" max="12550" width="20" style="423" customWidth="1"/>
    <col min="12551" max="12551" width="12.375" style="423" customWidth="1"/>
    <col min="12552" max="12800" width="2.625" style="423" customWidth="1"/>
    <col min="12801" max="12801" width="14.625" style="423" customWidth="1"/>
    <col min="12802" max="12802" width="7.625" style="423" customWidth="1"/>
    <col min="12803" max="12803" width="20.625" style="423" customWidth="1"/>
    <col min="12804" max="12804" width="6.5" style="423" customWidth="1"/>
    <col min="12805" max="12805" width="9.75" style="423" customWidth="1"/>
    <col min="12806" max="12806" width="20" style="423" customWidth="1"/>
    <col min="12807" max="12807" width="12.375" style="423" customWidth="1"/>
    <col min="12808" max="13056" width="2.625" style="423" customWidth="1"/>
    <col min="13057" max="13057" width="14.625" style="423" customWidth="1"/>
    <col min="13058" max="13058" width="7.625" style="423" customWidth="1"/>
    <col min="13059" max="13059" width="20.625" style="423" customWidth="1"/>
    <col min="13060" max="13060" width="6.5" style="423" customWidth="1"/>
    <col min="13061" max="13061" width="9.75" style="423" customWidth="1"/>
    <col min="13062" max="13062" width="20" style="423" customWidth="1"/>
    <col min="13063" max="13063" width="12.375" style="423" customWidth="1"/>
    <col min="13064" max="13312" width="2.625" style="423" customWidth="1"/>
    <col min="13313" max="13313" width="14.625" style="423" customWidth="1"/>
    <col min="13314" max="13314" width="7.625" style="423" customWidth="1"/>
    <col min="13315" max="13315" width="20.625" style="423" customWidth="1"/>
    <col min="13316" max="13316" width="6.5" style="423" customWidth="1"/>
    <col min="13317" max="13317" width="9.75" style="423" customWidth="1"/>
    <col min="13318" max="13318" width="20" style="423" customWidth="1"/>
    <col min="13319" max="13319" width="12.375" style="423" customWidth="1"/>
    <col min="13320" max="13568" width="2.625" style="423" customWidth="1"/>
    <col min="13569" max="13569" width="14.625" style="423" customWidth="1"/>
    <col min="13570" max="13570" width="7.625" style="423" customWidth="1"/>
    <col min="13571" max="13571" width="20.625" style="423" customWidth="1"/>
    <col min="13572" max="13572" width="6.5" style="423" customWidth="1"/>
    <col min="13573" max="13573" width="9.75" style="423" customWidth="1"/>
    <col min="13574" max="13574" width="20" style="423" customWidth="1"/>
    <col min="13575" max="13575" width="12.375" style="423" customWidth="1"/>
    <col min="13576" max="13824" width="2.625" style="423" customWidth="1"/>
    <col min="13825" max="13825" width="14.625" style="423" customWidth="1"/>
    <col min="13826" max="13826" width="7.625" style="423" customWidth="1"/>
    <col min="13827" max="13827" width="20.625" style="423" customWidth="1"/>
    <col min="13828" max="13828" width="6.5" style="423" customWidth="1"/>
    <col min="13829" max="13829" width="9.75" style="423" customWidth="1"/>
    <col min="13830" max="13830" width="20" style="423" customWidth="1"/>
    <col min="13831" max="13831" width="12.375" style="423" customWidth="1"/>
    <col min="13832" max="14080" width="2.625" style="423" customWidth="1"/>
    <col min="14081" max="14081" width="14.625" style="423" customWidth="1"/>
    <col min="14082" max="14082" width="7.625" style="423" customWidth="1"/>
    <col min="14083" max="14083" width="20.625" style="423" customWidth="1"/>
    <col min="14084" max="14084" width="6.5" style="423" customWidth="1"/>
    <col min="14085" max="14085" width="9.75" style="423" customWidth="1"/>
    <col min="14086" max="14086" width="20" style="423" customWidth="1"/>
    <col min="14087" max="14087" width="12.375" style="423" customWidth="1"/>
    <col min="14088" max="14336" width="2.625" style="423" customWidth="1"/>
    <col min="14337" max="14337" width="14.625" style="423" customWidth="1"/>
    <col min="14338" max="14338" width="7.625" style="423" customWidth="1"/>
    <col min="14339" max="14339" width="20.625" style="423" customWidth="1"/>
    <col min="14340" max="14340" width="6.5" style="423" customWidth="1"/>
    <col min="14341" max="14341" width="9.75" style="423" customWidth="1"/>
    <col min="14342" max="14342" width="20" style="423" customWidth="1"/>
    <col min="14343" max="14343" width="12.375" style="423" customWidth="1"/>
    <col min="14344" max="14592" width="2.625" style="423" customWidth="1"/>
    <col min="14593" max="14593" width="14.625" style="423" customWidth="1"/>
    <col min="14594" max="14594" width="7.625" style="423" customWidth="1"/>
    <col min="14595" max="14595" width="20.625" style="423" customWidth="1"/>
    <col min="14596" max="14596" width="6.5" style="423" customWidth="1"/>
    <col min="14597" max="14597" width="9.75" style="423" customWidth="1"/>
    <col min="14598" max="14598" width="20" style="423" customWidth="1"/>
    <col min="14599" max="14599" width="12.375" style="423" customWidth="1"/>
    <col min="14600" max="14848" width="2.625" style="423" customWidth="1"/>
    <col min="14849" max="14849" width="14.625" style="423" customWidth="1"/>
    <col min="14850" max="14850" width="7.625" style="423" customWidth="1"/>
    <col min="14851" max="14851" width="20.625" style="423" customWidth="1"/>
    <col min="14852" max="14852" width="6.5" style="423" customWidth="1"/>
    <col min="14853" max="14853" width="9.75" style="423" customWidth="1"/>
    <col min="14854" max="14854" width="20" style="423" customWidth="1"/>
    <col min="14855" max="14855" width="12.375" style="423" customWidth="1"/>
    <col min="14856" max="15104" width="2.625" style="423" customWidth="1"/>
    <col min="15105" max="15105" width="14.625" style="423" customWidth="1"/>
    <col min="15106" max="15106" width="7.625" style="423" customWidth="1"/>
    <col min="15107" max="15107" width="20.625" style="423" customWidth="1"/>
    <col min="15108" max="15108" width="6.5" style="423" customWidth="1"/>
    <col min="15109" max="15109" width="9.75" style="423" customWidth="1"/>
    <col min="15110" max="15110" width="20" style="423" customWidth="1"/>
    <col min="15111" max="15111" width="12.375" style="423" customWidth="1"/>
    <col min="15112" max="15360" width="2.625" style="423" customWidth="1"/>
    <col min="15361" max="15361" width="14.625" style="423" customWidth="1"/>
    <col min="15362" max="15362" width="7.625" style="423" customWidth="1"/>
    <col min="15363" max="15363" width="20.625" style="423" customWidth="1"/>
    <col min="15364" max="15364" width="6.5" style="423" customWidth="1"/>
    <col min="15365" max="15365" width="9.75" style="423" customWidth="1"/>
    <col min="15366" max="15366" width="20" style="423" customWidth="1"/>
    <col min="15367" max="15367" width="12.375" style="423" customWidth="1"/>
    <col min="15368" max="15616" width="2.625" style="423" customWidth="1"/>
    <col min="15617" max="15617" width="14.625" style="423" customWidth="1"/>
    <col min="15618" max="15618" width="7.625" style="423" customWidth="1"/>
    <col min="15619" max="15619" width="20.625" style="423" customWidth="1"/>
    <col min="15620" max="15620" width="6.5" style="423" customWidth="1"/>
    <col min="15621" max="15621" width="9.75" style="423" customWidth="1"/>
    <col min="15622" max="15622" width="20" style="423" customWidth="1"/>
    <col min="15623" max="15623" width="12.375" style="423" customWidth="1"/>
    <col min="15624" max="15872" width="2.625" style="423" customWidth="1"/>
    <col min="15873" max="15873" width="14.625" style="423" customWidth="1"/>
    <col min="15874" max="15874" width="7.625" style="423" customWidth="1"/>
    <col min="15875" max="15875" width="20.625" style="423" customWidth="1"/>
    <col min="15876" max="15876" width="6.5" style="423" customWidth="1"/>
    <col min="15877" max="15877" width="9.75" style="423" customWidth="1"/>
    <col min="15878" max="15878" width="20" style="423" customWidth="1"/>
    <col min="15879" max="15879" width="12.375" style="423" customWidth="1"/>
    <col min="15880" max="16128" width="2.625" style="423" customWidth="1"/>
    <col min="16129" max="16129" width="14.625" style="423" customWidth="1"/>
    <col min="16130" max="16130" width="7.625" style="423" customWidth="1"/>
    <col min="16131" max="16131" width="20.625" style="423" customWidth="1"/>
    <col min="16132" max="16132" width="6.5" style="423" customWidth="1"/>
    <col min="16133" max="16133" width="9.75" style="423" customWidth="1"/>
    <col min="16134" max="16134" width="20" style="423" customWidth="1"/>
    <col min="16135" max="16135" width="12.375" style="423" customWidth="1"/>
    <col min="16136" max="16384" width="2.625" style="423" customWidth="1"/>
  </cols>
  <sheetData>
    <row r="1" spans="1:33" ht="22.5" customHeight="1">
      <c r="A1" s="603" t="s">
        <v>3141</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row>
    <row r="2" spans="1:33" ht="22.5" customHeight="1">
      <c r="C2" s="424"/>
      <c r="D2" s="425"/>
      <c r="E2" s="425"/>
      <c r="F2" s="425"/>
      <c r="G2" s="425"/>
      <c r="W2" s="426"/>
      <c r="X2" s="426"/>
      <c r="Y2" s="438"/>
      <c r="Z2" s="607"/>
      <c r="AA2" s="607"/>
      <c r="AB2" s="427" t="s">
        <v>464</v>
      </c>
      <c r="AC2" s="450"/>
      <c r="AD2" s="427" t="s">
        <v>1</v>
      </c>
      <c r="AE2" s="450"/>
      <c r="AF2" s="427" t="s">
        <v>465</v>
      </c>
      <c r="AG2" s="426"/>
    </row>
    <row r="3" spans="1:33" ht="22.5" customHeight="1">
      <c r="A3" s="428" t="s">
        <v>3142</v>
      </c>
      <c r="B3" s="424"/>
      <c r="C3" s="424"/>
      <c r="D3" s="425"/>
      <c r="E3" s="425"/>
      <c r="F3" s="425"/>
      <c r="G3" s="425"/>
    </row>
    <row r="4" spans="1:33" ht="22.5" customHeight="1">
      <c r="B4" s="431" t="str">
        <f ca="1">cst_Pre_Daihyou__SHINSEI&amp;"　様"</f>
        <v>理事長 　柳　敏幸　様</v>
      </c>
      <c r="C4" s="432"/>
      <c r="D4" s="432"/>
      <c r="E4" s="433"/>
      <c r="F4" s="433"/>
      <c r="G4" s="433"/>
      <c r="P4" s="423" t="s">
        <v>2832</v>
      </c>
      <c r="S4" s="423" t="s">
        <v>13</v>
      </c>
      <c r="U4" s="608" t="str">
        <f>cst_wskakunin_owner1__address</f>
        <v>静岡県静岡市葵区新伝馬二丁目8-41-101</v>
      </c>
      <c r="V4" s="608"/>
      <c r="W4" s="608"/>
      <c r="X4" s="608"/>
      <c r="Y4" s="608"/>
      <c r="Z4" s="608"/>
      <c r="AA4" s="608"/>
      <c r="AB4" s="608"/>
      <c r="AC4" s="608"/>
      <c r="AD4" s="608"/>
      <c r="AE4" s="608"/>
      <c r="AF4" s="608"/>
      <c r="AG4" s="608"/>
    </row>
    <row r="5" spans="1:33" ht="22.5" customHeight="1">
      <c r="A5" s="429"/>
      <c r="B5" s="424"/>
      <c r="C5" s="424"/>
      <c r="D5" s="425"/>
      <c r="E5" s="425"/>
      <c r="F5" s="425"/>
      <c r="G5" s="425"/>
      <c r="S5" s="423" t="s">
        <v>11</v>
      </c>
      <c r="U5" s="609" t="str">
        <f>cst_wskakunin_owner1__space3</f>
        <v>菅野　幸子</v>
      </c>
      <c r="V5" s="609"/>
      <c r="W5" s="609"/>
      <c r="X5" s="609"/>
      <c r="Y5" s="609"/>
      <c r="Z5" s="609"/>
      <c r="AA5" s="609"/>
      <c r="AB5" s="609"/>
      <c r="AC5" s="609"/>
      <c r="AD5" s="609"/>
      <c r="AE5" s="609"/>
      <c r="AF5" s="609"/>
      <c r="AG5" s="609"/>
    </row>
    <row r="6" spans="1:33" ht="22.5" customHeight="1">
      <c r="A6" s="426" t="s">
        <v>3143</v>
      </c>
    </row>
    <row r="7" spans="1:33" ht="30.75" customHeight="1">
      <c r="A7" s="604"/>
      <c r="B7" s="604"/>
      <c r="C7" s="604"/>
      <c r="D7" s="604"/>
      <c r="E7" s="604"/>
      <c r="F7" s="604"/>
      <c r="G7" s="604"/>
      <c r="H7" s="605" t="s">
        <v>3144</v>
      </c>
      <c r="I7" s="605"/>
      <c r="J7" s="605"/>
      <c r="K7" s="605"/>
      <c r="L7" s="605"/>
      <c r="M7" s="605"/>
      <c r="N7" s="605"/>
      <c r="O7" s="606" t="s">
        <v>2778</v>
      </c>
      <c r="P7" s="606"/>
      <c r="Q7" s="606"/>
      <c r="R7" s="606"/>
      <c r="S7" s="606"/>
      <c r="T7" s="606"/>
      <c r="U7" s="605" t="s">
        <v>3145</v>
      </c>
      <c r="V7" s="605"/>
      <c r="W7" s="605"/>
      <c r="X7" s="605"/>
      <c r="Y7" s="605"/>
      <c r="Z7" s="605"/>
      <c r="AA7" s="605"/>
      <c r="AB7" s="605" t="s">
        <v>2781</v>
      </c>
      <c r="AC7" s="605"/>
      <c r="AD7" s="605"/>
      <c r="AE7" s="605"/>
      <c r="AF7" s="605"/>
      <c r="AG7" s="605"/>
    </row>
    <row r="8" spans="1:33" ht="60" customHeight="1">
      <c r="A8" s="602" t="s">
        <v>3146</v>
      </c>
      <c r="B8" s="602"/>
      <c r="C8" s="602"/>
      <c r="D8" s="602"/>
      <c r="E8" s="602"/>
      <c r="F8" s="602"/>
      <c r="G8" s="602"/>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row>
    <row r="9" spans="1:33" ht="60" customHeight="1">
      <c r="A9" s="602" t="s">
        <v>3147</v>
      </c>
      <c r="B9" s="602"/>
      <c r="C9" s="602"/>
      <c r="D9" s="602"/>
      <c r="E9" s="602"/>
      <c r="F9" s="602"/>
      <c r="G9" s="602"/>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row>
    <row r="10" spans="1:33" ht="60" customHeight="1">
      <c r="A10" s="602" t="s">
        <v>3148</v>
      </c>
      <c r="B10" s="602"/>
      <c r="C10" s="602"/>
      <c r="D10" s="602"/>
      <c r="E10" s="602"/>
      <c r="F10" s="602"/>
      <c r="G10" s="602"/>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row>
    <row r="11" spans="1:33" ht="60" customHeight="1">
      <c r="A11" s="602" t="s">
        <v>3149</v>
      </c>
      <c r="B11" s="602"/>
      <c r="C11" s="602"/>
      <c r="D11" s="602"/>
      <c r="E11" s="602"/>
      <c r="F11" s="602"/>
      <c r="G11" s="602"/>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row>
    <row r="12" spans="1:33" ht="60" customHeight="1">
      <c r="A12" s="602" t="s">
        <v>3150</v>
      </c>
      <c r="B12" s="602"/>
      <c r="C12" s="602"/>
      <c r="D12" s="602"/>
      <c r="E12" s="602"/>
      <c r="F12" s="602"/>
      <c r="G12" s="602"/>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row>
    <row r="13" spans="1:33" ht="60" customHeight="1">
      <c r="A13" s="602" t="s">
        <v>3151</v>
      </c>
      <c r="B13" s="602"/>
      <c r="C13" s="602"/>
      <c r="D13" s="602"/>
      <c r="E13" s="602"/>
      <c r="F13" s="602"/>
      <c r="G13" s="602"/>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row>
    <row r="14" spans="1:33" ht="60" customHeight="1">
      <c r="A14" s="602" t="s">
        <v>3152</v>
      </c>
      <c r="B14" s="602"/>
      <c r="C14" s="602"/>
      <c r="D14" s="602"/>
      <c r="E14" s="602"/>
      <c r="F14" s="602"/>
      <c r="G14" s="602"/>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row>
    <row r="15" spans="1:33" ht="60" customHeight="1">
      <c r="A15" s="602" t="s">
        <v>3153</v>
      </c>
      <c r="B15" s="602"/>
      <c r="C15" s="602"/>
      <c r="D15" s="602"/>
      <c r="E15" s="602"/>
      <c r="F15" s="602"/>
      <c r="G15" s="602"/>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row>
    <row r="16" spans="1:33" ht="60" customHeight="1">
      <c r="A16" s="602" t="s">
        <v>3154</v>
      </c>
      <c r="B16" s="602"/>
      <c r="C16" s="602"/>
      <c r="D16" s="602"/>
      <c r="E16" s="602"/>
      <c r="F16" s="602"/>
      <c r="G16" s="602"/>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row>
    <row r="17" spans="1:33" ht="60" customHeight="1">
      <c r="A17" s="602" t="s">
        <v>3155</v>
      </c>
      <c r="B17" s="602"/>
      <c r="C17" s="602"/>
      <c r="D17" s="602"/>
      <c r="E17" s="602"/>
      <c r="F17" s="602"/>
      <c r="G17" s="602"/>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1:33" ht="42" customHeight="1">
      <c r="A18" s="602" t="s">
        <v>484</v>
      </c>
      <c r="B18" s="602"/>
      <c r="C18" s="602"/>
      <c r="D18" s="602"/>
      <c r="E18" s="602"/>
      <c r="F18" s="602"/>
      <c r="G18" s="602"/>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row>
    <row r="19" spans="1:33" ht="16.5" customHeight="1">
      <c r="A19" s="430"/>
      <c r="B19" s="430"/>
      <c r="C19" s="430"/>
      <c r="D19" s="430"/>
      <c r="E19" s="430"/>
      <c r="F19" s="430"/>
      <c r="G19" s="430"/>
      <c r="H19" s="430"/>
    </row>
    <row r="20" spans="1:33" ht="16.5" customHeight="1">
      <c r="A20" s="430"/>
      <c r="B20" s="430"/>
      <c r="C20" s="430"/>
      <c r="D20" s="430"/>
      <c r="E20" s="430"/>
      <c r="F20" s="430"/>
      <c r="G20" s="430"/>
      <c r="H20" s="430"/>
    </row>
    <row r="21" spans="1:33" ht="16.5" customHeight="1">
      <c r="A21" s="430"/>
      <c r="B21" s="430"/>
      <c r="C21" s="430"/>
      <c r="D21" s="430"/>
      <c r="E21" s="430"/>
      <c r="F21" s="430"/>
      <c r="G21" s="430"/>
      <c r="H21" s="430"/>
    </row>
    <row r="22" spans="1:33" ht="16.5" customHeight="1">
      <c r="A22" s="430"/>
      <c r="B22" s="430"/>
      <c r="C22" s="430"/>
      <c r="D22" s="430"/>
      <c r="E22" s="430"/>
      <c r="F22" s="430"/>
      <c r="G22" s="430"/>
      <c r="H22" s="430"/>
    </row>
    <row r="23" spans="1:33" ht="16.5" customHeight="1">
      <c r="A23" s="430"/>
      <c r="B23" s="430"/>
      <c r="C23" s="430"/>
      <c r="D23" s="430"/>
      <c r="E23" s="430"/>
      <c r="F23" s="430"/>
      <c r="G23" s="430"/>
      <c r="H23" s="430"/>
    </row>
    <row r="24" spans="1:33" ht="16.5" customHeight="1">
      <c r="A24" s="430"/>
      <c r="B24" s="430"/>
      <c r="C24" s="430"/>
      <c r="D24" s="430"/>
      <c r="E24" s="430"/>
      <c r="F24" s="430"/>
      <c r="G24" s="430"/>
      <c r="H24" s="430"/>
    </row>
    <row r="25" spans="1:33" ht="16.5" customHeight="1">
      <c r="A25" s="430"/>
      <c r="B25" s="430"/>
      <c r="C25" s="430"/>
      <c r="D25" s="430"/>
      <c r="E25" s="430"/>
      <c r="F25" s="430"/>
      <c r="G25" s="430"/>
      <c r="H25" s="430"/>
    </row>
    <row r="26" spans="1:33" ht="16.5" customHeight="1">
      <c r="A26" s="430"/>
      <c r="B26" s="430"/>
      <c r="C26" s="430"/>
      <c r="D26" s="430"/>
      <c r="E26" s="430"/>
      <c r="F26" s="430"/>
      <c r="G26" s="430"/>
      <c r="H26" s="430"/>
    </row>
  </sheetData>
  <mergeCells count="61">
    <mergeCell ref="A18:G18"/>
    <mergeCell ref="H18:AG18"/>
    <mergeCell ref="U5:AG5"/>
    <mergeCell ref="A16:G16"/>
    <mergeCell ref="H16:N16"/>
    <mergeCell ref="O16:T16"/>
    <mergeCell ref="U16:AA16"/>
    <mergeCell ref="AB16:AG16"/>
    <mergeCell ref="A17:G17"/>
    <mergeCell ref="H17:N17"/>
    <mergeCell ref="O17:T17"/>
    <mergeCell ref="U17:AA17"/>
    <mergeCell ref="AB17:AG17"/>
    <mergeCell ref="A14:G14"/>
    <mergeCell ref="H14:N14"/>
    <mergeCell ref="O14:T14"/>
    <mergeCell ref="U14:AA14"/>
    <mergeCell ref="AB14:AG14"/>
    <mergeCell ref="A15:G15"/>
    <mergeCell ref="H15:N15"/>
    <mergeCell ref="O15:T15"/>
    <mergeCell ref="U15:AA15"/>
    <mergeCell ref="AB15:AG15"/>
    <mergeCell ref="U13:AA13"/>
    <mergeCell ref="AB13:AG13"/>
    <mergeCell ref="A12:G12"/>
    <mergeCell ref="H12:N12"/>
    <mergeCell ref="O12:T12"/>
    <mergeCell ref="U12:AA12"/>
    <mergeCell ref="AB12:AG12"/>
    <mergeCell ref="H9:N9"/>
    <mergeCell ref="O9:T9"/>
    <mergeCell ref="A13:G13"/>
    <mergeCell ref="H13:N13"/>
    <mergeCell ref="O13:T13"/>
    <mergeCell ref="A10:G10"/>
    <mergeCell ref="H10:N10"/>
    <mergeCell ref="O10:T10"/>
    <mergeCell ref="U10:AA10"/>
    <mergeCell ref="AB10:AG10"/>
    <mergeCell ref="A11:G11"/>
    <mergeCell ref="H11:N11"/>
    <mergeCell ref="O11:T11"/>
    <mergeCell ref="U11:AA11"/>
    <mergeCell ref="AB11:AG11"/>
    <mergeCell ref="U9:AA9"/>
    <mergeCell ref="AB9:AG9"/>
    <mergeCell ref="A8:G8"/>
    <mergeCell ref="H8:N8"/>
    <mergeCell ref="A1:AG1"/>
    <mergeCell ref="A7:G7"/>
    <mergeCell ref="H7:N7"/>
    <mergeCell ref="O7:T7"/>
    <mergeCell ref="U7:AA7"/>
    <mergeCell ref="AB7:AG7"/>
    <mergeCell ref="Z2:AA2"/>
    <mergeCell ref="U4:AG4"/>
    <mergeCell ref="O8:T8"/>
    <mergeCell ref="U8:AA8"/>
    <mergeCell ref="AB8:AG8"/>
    <mergeCell ref="A9:G9"/>
  </mergeCells>
  <phoneticPr fontId="57"/>
  <printOptions horizontalCentered="1"/>
  <pageMargins left="0.39370078740157483" right="0.39370078740157483" top="0.78740157480314965" bottom="0.55118110236220474"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240"/>
  <sheetViews>
    <sheetView zoomScale="110" zoomScaleNormal="110" workbookViewId="0"/>
  </sheetViews>
  <sheetFormatPr defaultColWidth="1.25" defaultRowHeight="13.5"/>
  <cols>
    <col min="1" max="1" width="1.25" style="338" customWidth="1"/>
    <col min="2" max="16384" width="1.25" style="338"/>
  </cols>
  <sheetData>
    <row r="1" spans="2:70">
      <c r="B1" s="383" t="s">
        <v>3017</v>
      </c>
      <c r="C1" s="383"/>
      <c r="D1" s="383"/>
      <c r="E1" s="383"/>
      <c r="F1" s="383"/>
      <c r="G1" s="383"/>
      <c r="H1" s="383"/>
      <c r="I1" s="383"/>
      <c r="J1" s="383"/>
      <c r="K1" s="383"/>
      <c r="L1" s="383"/>
      <c r="M1" s="383"/>
      <c r="N1" s="383"/>
      <c r="O1" s="383"/>
      <c r="P1" s="383"/>
      <c r="Q1" s="383"/>
      <c r="R1" s="383"/>
    </row>
    <row r="2" spans="2:70" ht="6" customHeight="1">
      <c r="B2" s="382"/>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69"/>
    </row>
    <row r="3" spans="2:70" ht="6" customHeight="1">
      <c r="B3" s="348"/>
      <c r="BR3" s="345"/>
    </row>
    <row r="4" spans="2:70" ht="6" customHeight="1">
      <c r="B4" s="348"/>
      <c r="BR4" s="345"/>
    </row>
    <row r="5" spans="2:70" ht="6" customHeight="1">
      <c r="B5" s="635" t="s">
        <v>3016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36"/>
      <c r="BH5" s="636"/>
      <c r="BI5" s="636"/>
      <c r="BJ5" s="636"/>
      <c r="BK5" s="636"/>
      <c r="BL5" s="636"/>
      <c r="BM5" s="636"/>
      <c r="BN5" s="636"/>
      <c r="BO5" s="636"/>
      <c r="BP5" s="636"/>
      <c r="BQ5" s="636"/>
      <c r="BR5" s="637"/>
    </row>
    <row r="6" spans="2:70" ht="6" customHeight="1">
      <c r="B6" s="635"/>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636"/>
      <c r="BJ6" s="636"/>
      <c r="BK6" s="636"/>
      <c r="BL6" s="636"/>
      <c r="BM6" s="636"/>
      <c r="BN6" s="636"/>
      <c r="BO6" s="636"/>
      <c r="BP6" s="636"/>
      <c r="BQ6" s="636"/>
      <c r="BR6" s="637"/>
    </row>
    <row r="7" spans="2:70" ht="6" customHeight="1">
      <c r="B7" s="635"/>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6"/>
      <c r="BJ7" s="636"/>
      <c r="BK7" s="636"/>
      <c r="BL7" s="636"/>
      <c r="BM7" s="636"/>
      <c r="BN7" s="636"/>
      <c r="BO7" s="636"/>
      <c r="BP7" s="636"/>
      <c r="BQ7" s="636"/>
      <c r="BR7" s="637"/>
    </row>
    <row r="8" spans="2:70" ht="6" customHeight="1">
      <c r="B8" s="635"/>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7"/>
    </row>
    <row r="9" spans="2:70" ht="6" customHeight="1">
      <c r="B9" s="635"/>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636"/>
      <c r="BB9" s="636"/>
      <c r="BC9" s="636"/>
      <c r="BD9" s="636"/>
      <c r="BE9" s="636"/>
      <c r="BF9" s="636"/>
      <c r="BG9" s="636"/>
      <c r="BH9" s="636"/>
      <c r="BI9" s="636"/>
      <c r="BJ9" s="636"/>
      <c r="BK9" s="636"/>
      <c r="BL9" s="636"/>
      <c r="BM9" s="636"/>
      <c r="BN9" s="636"/>
      <c r="BO9" s="636"/>
      <c r="BP9" s="636"/>
      <c r="BQ9" s="636"/>
      <c r="BR9" s="637"/>
    </row>
    <row r="10" spans="2:70" ht="6" customHeight="1">
      <c r="B10" s="635"/>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7"/>
    </row>
    <row r="11" spans="2:70" ht="6" customHeight="1">
      <c r="B11" s="635"/>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636"/>
      <c r="BL11" s="636"/>
      <c r="BM11" s="636"/>
      <c r="BN11" s="636"/>
      <c r="BO11" s="636"/>
      <c r="BP11" s="636"/>
      <c r="BQ11" s="636"/>
      <c r="BR11" s="637"/>
    </row>
    <row r="12" spans="2:70" ht="6" customHeight="1">
      <c r="B12" s="635"/>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c r="BC12" s="636"/>
      <c r="BD12" s="636"/>
      <c r="BE12" s="636"/>
      <c r="BF12" s="636"/>
      <c r="BG12" s="636"/>
      <c r="BH12" s="636"/>
      <c r="BI12" s="636"/>
      <c r="BJ12" s="636"/>
      <c r="BK12" s="636"/>
      <c r="BL12" s="636"/>
      <c r="BM12" s="636"/>
      <c r="BN12" s="636"/>
      <c r="BO12" s="636"/>
      <c r="BP12" s="636"/>
      <c r="BQ12" s="636"/>
      <c r="BR12" s="637"/>
    </row>
    <row r="13" spans="2:70" ht="6" customHeight="1">
      <c r="B13" s="348"/>
      <c r="BR13" s="345"/>
    </row>
    <row r="14" spans="2:70" ht="6" customHeight="1">
      <c r="B14" s="348"/>
      <c r="BR14" s="345"/>
    </row>
    <row r="15" spans="2:70" ht="6" customHeight="1">
      <c r="B15" s="344"/>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0"/>
    </row>
    <row r="16" spans="2:70" ht="6" customHeight="1">
      <c r="B16" s="615" t="s">
        <v>3007</v>
      </c>
      <c r="C16" s="616"/>
      <c r="D16" s="360"/>
      <c r="E16" s="638" t="s">
        <v>3006</v>
      </c>
      <c r="F16" s="638"/>
      <c r="G16" s="638"/>
      <c r="H16" s="638"/>
      <c r="I16" s="638"/>
      <c r="J16" s="638"/>
      <c r="K16" s="638"/>
      <c r="L16" s="638"/>
      <c r="M16" s="638"/>
      <c r="N16" s="638"/>
      <c r="O16" s="638"/>
      <c r="P16" s="638"/>
      <c r="Q16" s="638"/>
      <c r="R16" s="638"/>
      <c r="S16" s="345"/>
      <c r="Z16" s="610"/>
      <c r="AA16" s="610"/>
      <c r="AB16" s="610"/>
      <c r="AC16" s="610"/>
      <c r="AD16" s="610"/>
      <c r="AE16" s="610"/>
      <c r="AF16" s="610"/>
      <c r="AG16" s="640" t="s">
        <v>464</v>
      </c>
      <c r="AH16" s="640"/>
      <c r="AI16" s="640"/>
      <c r="AK16" s="610"/>
      <c r="AL16" s="610"/>
      <c r="AM16" s="610"/>
      <c r="AN16" s="610"/>
      <c r="AO16" s="610"/>
      <c r="AP16" s="640" t="s">
        <v>1</v>
      </c>
      <c r="AQ16" s="640"/>
      <c r="AR16" s="640"/>
      <c r="AT16" s="610"/>
      <c r="AU16" s="610"/>
      <c r="AV16" s="610"/>
      <c r="AW16" s="610"/>
      <c r="AX16" s="610"/>
      <c r="AY16" s="640" t="s">
        <v>465</v>
      </c>
      <c r="AZ16" s="640"/>
      <c r="BA16" s="640"/>
      <c r="BR16" s="345"/>
    </row>
    <row r="17" spans="2:70" ht="6" customHeight="1">
      <c r="B17" s="615"/>
      <c r="C17" s="616"/>
      <c r="D17" s="360"/>
      <c r="E17" s="638"/>
      <c r="F17" s="638"/>
      <c r="G17" s="638"/>
      <c r="H17" s="638"/>
      <c r="I17" s="638"/>
      <c r="J17" s="638"/>
      <c r="K17" s="638"/>
      <c r="L17" s="638"/>
      <c r="M17" s="638"/>
      <c r="N17" s="638"/>
      <c r="O17" s="638"/>
      <c r="P17" s="638"/>
      <c r="Q17" s="638"/>
      <c r="R17" s="638"/>
      <c r="S17" s="345"/>
      <c r="Z17" s="611"/>
      <c r="AA17" s="611"/>
      <c r="AB17" s="611"/>
      <c r="AC17" s="611"/>
      <c r="AD17" s="611"/>
      <c r="AE17" s="611"/>
      <c r="AF17" s="611"/>
      <c r="AG17" s="640"/>
      <c r="AH17" s="640"/>
      <c r="AI17" s="640"/>
      <c r="AK17" s="611"/>
      <c r="AL17" s="611"/>
      <c r="AM17" s="611"/>
      <c r="AN17" s="611"/>
      <c r="AO17" s="611"/>
      <c r="AP17" s="640"/>
      <c r="AQ17" s="640"/>
      <c r="AR17" s="640"/>
      <c r="AT17" s="611"/>
      <c r="AU17" s="611"/>
      <c r="AV17" s="611"/>
      <c r="AW17" s="611"/>
      <c r="AX17" s="611"/>
      <c r="AY17" s="640"/>
      <c r="AZ17" s="640"/>
      <c r="BA17" s="640"/>
      <c r="BR17" s="345"/>
    </row>
    <row r="18" spans="2:70" ht="6" customHeight="1">
      <c r="B18" s="617"/>
      <c r="C18" s="618"/>
      <c r="D18" s="375"/>
      <c r="E18" s="639"/>
      <c r="F18" s="639"/>
      <c r="G18" s="639"/>
      <c r="H18" s="639"/>
      <c r="I18" s="639"/>
      <c r="J18" s="639"/>
      <c r="K18" s="639"/>
      <c r="L18" s="639"/>
      <c r="M18" s="639"/>
      <c r="N18" s="639"/>
      <c r="O18" s="639"/>
      <c r="P18" s="639"/>
      <c r="Q18" s="639"/>
      <c r="R18" s="639"/>
      <c r="S18" s="340"/>
      <c r="T18" s="341"/>
      <c r="U18" s="341"/>
      <c r="V18" s="341"/>
      <c r="W18" s="341"/>
      <c r="X18" s="341"/>
      <c r="Y18" s="341"/>
      <c r="Z18" s="612"/>
      <c r="AA18" s="612"/>
      <c r="AB18" s="612"/>
      <c r="AC18" s="612"/>
      <c r="AD18" s="612"/>
      <c r="AE18" s="612"/>
      <c r="AF18" s="612"/>
      <c r="AG18" s="641"/>
      <c r="AH18" s="641"/>
      <c r="AI18" s="641"/>
      <c r="AJ18" s="341"/>
      <c r="AK18" s="612"/>
      <c r="AL18" s="612"/>
      <c r="AM18" s="612"/>
      <c r="AN18" s="612"/>
      <c r="AO18" s="612"/>
      <c r="AP18" s="641"/>
      <c r="AQ18" s="641"/>
      <c r="AR18" s="641"/>
      <c r="AS18" s="341"/>
      <c r="AT18" s="612"/>
      <c r="AU18" s="612"/>
      <c r="AV18" s="612"/>
      <c r="AW18" s="612"/>
      <c r="AX18" s="612"/>
      <c r="AY18" s="641"/>
      <c r="AZ18" s="641"/>
      <c r="BA18" s="641"/>
      <c r="BB18" s="341"/>
      <c r="BC18" s="341"/>
      <c r="BD18" s="341"/>
      <c r="BE18" s="341"/>
      <c r="BF18" s="341"/>
      <c r="BG18" s="341"/>
      <c r="BH18" s="341"/>
      <c r="BI18" s="341"/>
      <c r="BJ18" s="341"/>
      <c r="BK18" s="341"/>
      <c r="BL18" s="341"/>
      <c r="BM18" s="341"/>
      <c r="BN18" s="341"/>
      <c r="BO18" s="341"/>
      <c r="BP18" s="341"/>
      <c r="BQ18" s="341"/>
      <c r="BR18" s="340"/>
    </row>
    <row r="19" spans="2:70" ht="6" customHeight="1">
      <c r="B19" s="348"/>
      <c r="C19" s="339"/>
      <c r="D19" s="339"/>
      <c r="E19" s="339"/>
      <c r="F19" s="339"/>
      <c r="G19" s="339"/>
      <c r="H19" s="339"/>
      <c r="I19" s="339"/>
      <c r="J19" s="339"/>
      <c r="K19" s="339"/>
      <c r="L19" s="339"/>
      <c r="M19" s="339"/>
      <c r="N19" s="339"/>
      <c r="O19" s="339"/>
      <c r="P19" s="339"/>
      <c r="Q19" s="339"/>
      <c r="R19" s="339"/>
      <c r="S19" s="345"/>
      <c r="BR19" s="345"/>
    </row>
    <row r="20" spans="2:70" ht="6" customHeight="1">
      <c r="B20" s="348"/>
      <c r="C20" s="339"/>
      <c r="D20" s="339"/>
      <c r="E20" s="339"/>
      <c r="F20" s="339"/>
      <c r="G20" s="339"/>
      <c r="H20" s="339"/>
      <c r="I20" s="339"/>
      <c r="J20" s="339"/>
      <c r="K20" s="339"/>
      <c r="L20" s="339"/>
      <c r="M20" s="339"/>
      <c r="N20" s="339"/>
      <c r="O20" s="339"/>
      <c r="P20" s="339"/>
      <c r="Q20" s="339"/>
      <c r="R20" s="339"/>
      <c r="S20" s="345"/>
      <c r="U20" s="644" t="str">
        <f>cst_wskakunin_owner1__address</f>
        <v>静岡県静岡市葵区新伝馬二丁目8-41-101</v>
      </c>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c r="BO20" s="644"/>
      <c r="BP20" s="644"/>
      <c r="BQ20" s="644"/>
      <c r="BR20" s="345"/>
    </row>
    <row r="21" spans="2:70" ht="6" customHeight="1">
      <c r="B21" s="645">
        <v>1</v>
      </c>
      <c r="C21" s="640"/>
      <c r="D21" s="360"/>
      <c r="E21" s="643" t="s">
        <v>3005</v>
      </c>
      <c r="F21" s="643"/>
      <c r="G21" s="643"/>
      <c r="H21" s="643"/>
      <c r="I21" s="643"/>
      <c r="J21" s="643"/>
      <c r="K21" s="643"/>
      <c r="L21" s="643"/>
      <c r="M21" s="643"/>
      <c r="N21" s="643"/>
      <c r="O21" s="643"/>
      <c r="P21" s="643"/>
      <c r="Q21" s="643"/>
      <c r="R21" s="643"/>
      <c r="S21" s="646"/>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345"/>
    </row>
    <row r="22" spans="2:70" ht="6" customHeight="1">
      <c r="B22" s="645"/>
      <c r="C22" s="640"/>
      <c r="D22" s="360"/>
      <c r="E22" s="643"/>
      <c r="F22" s="643"/>
      <c r="G22" s="643"/>
      <c r="H22" s="643"/>
      <c r="I22" s="643"/>
      <c r="J22" s="643"/>
      <c r="K22" s="643"/>
      <c r="L22" s="643"/>
      <c r="M22" s="643"/>
      <c r="N22" s="643"/>
      <c r="O22" s="643"/>
      <c r="P22" s="643"/>
      <c r="Q22" s="643"/>
      <c r="R22" s="643"/>
      <c r="S22" s="646"/>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D22" s="644"/>
      <c r="BE22" s="644"/>
      <c r="BF22" s="644"/>
      <c r="BG22" s="644"/>
      <c r="BH22" s="644"/>
      <c r="BI22" s="644"/>
      <c r="BJ22" s="644"/>
      <c r="BK22" s="644"/>
      <c r="BL22" s="644"/>
      <c r="BM22" s="644"/>
      <c r="BN22" s="644"/>
      <c r="BO22" s="644"/>
      <c r="BP22" s="644"/>
      <c r="BQ22" s="644"/>
      <c r="BR22" s="345"/>
    </row>
    <row r="23" spans="2:70" ht="6" customHeight="1">
      <c r="B23" s="645"/>
      <c r="C23" s="640"/>
      <c r="D23" s="360"/>
      <c r="E23" s="643"/>
      <c r="F23" s="643"/>
      <c r="G23" s="643"/>
      <c r="H23" s="643"/>
      <c r="I23" s="643"/>
      <c r="J23" s="643"/>
      <c r="K23" s="643"/>
      <c r="L23" s="643"/>
      <c r="M23" s="643"/>
      <c r="N23" s="643"/>
      <c r="O23" s="643"/>
      <c r="P23" s="643"/>
      <c r="Q23" s="643"/>
      <c r="R23" s="643"/>
      <c r="S23" s="646"/>
      <c r="BR23" s="345"/>
    </row>
    <row r="24" spans="2:70" ht="6" customHeight="1">
      <c r="B24" s="645"/>
      <c r="C24" s="640"/>
      <c r="D24" s="360"/>
      <c r="E24" s="643"/>
      <c r="F24" s="643"/>
      <c r="G24" s="643"/>
      <c r="H24" s="643"/>
      <c r="I24" s="643"/>
      <c r="J24" s="643"/>
      <c r="K24" s="643"/>
      <c r="L24" s="643"/>
      <c r="M24" s="643"/>
      <c r="N24" s="643"/>
      <c r="O24" s="643"/>
      <c r="P24" s="643"/>
      <c r="Q24" s="643"/>
      <c r="R24" s="643"/>
      <c r="S24" s="646"/>
      <c r="U24" s="644" t="str">
        <f>cst_wskakunin_owner1__space</f>
        <v>菅野　幸子</v>
      </c>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c r="BN24" s="644"/>
      <c r="BO24" s="644"/>
      <c r="BP24" s="644"/>
      <c r="BQ24" s="644"/>
      <c r="BR24" s="345"/>
    </row>
    <row r="25" spans="2:70" ht="6" customHeight="1">
      <c r="B25" s="645"/>
      <c r="C25" s="640"/>
      <c r="D25" s="360"/>
      <c r="E25" s="643"/>
      <c r="F25" s="643"/>
      <c r="G25" s="643"/>
      <c r="H25" s="643"/>
      <c r="I25" s="643"/>
      <c r="J25" s="643"/>
      <c r="K25" s="643"/>
      <c r="L25" s="643"/>
      <c r="M25" s="643"/>
      <c r="N25" s="643"/>
      <c r="O25" s="643"/>
      <c r="P25" s="643"/>
      <c r="Q25" s="643"/>
      <c r="R25" s="643"/>
      <c r="S25" s="646"/>
      <c r="T25" s="347"/>
      <c r="U25" s="644"/>
      <c r="V25" s="644"/>
      <c r="W25" s="644"/>
      <c r="X25" s="644"/>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4"/>
      <c r="BA25" s="644"/>
      <c r="BB25" s="644"/>
      <c r="BC25" s="644"/>
      <c r="BD25" s="644"/>
      <c r="BE25" s="644"/>
      <c r="BF25" s="644"/>
      <c r="BG25" s="644"/>
      <c r="BH25" s="644"/>
      <c r="BI25" s="644"/>
      <c r="BJ25" s="644"/>
      <c r="BK25" s="644"/>
      <c r="BL25" s="644"/>
      <c r="BM25" s="644"/>
      <c r="BN25" s="644"/>
      <c r="BO25" s="644"/>
      <c r="BP25" s="644"/>
      <c r="BQ25" s="644"/>
      <c r="BR25" s="345"/>
    </row>
    <row r="26" spans="2:70" ht="6" customHeight="1">
      <c r="B26" s="645"/>
      <c r="C26" s="640"/>
      <c r="D26" s="360"/>
      <c r="E26" s="643"/>
      <c r="F26" s="643"/>
      <c r="G26" s="643"/>
      <c r="H26" s="643"/>
      <c r="I26" s="643"/>
      <c r="J26" s="643"/>
      <c r="K26" s="643"/>
      <c r="L26" s="643"/>
      <c r="M26" s="643"/>
      <c r="N26" s="643"/>
      <c r="O26" s="643"/>
      <c r="P26" s="643"/>
      <c r="Q26" s="643"/>
      <c r="R26" s="643"/>
      <c r="S26" s="646"/>
      <c r="T26" s="347"/>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4"/>
      <c r="AY26" s="644"/>
      <c r="AZ26" s="644"/>
      <c r="BA26" s="644"/>
      <c r="BB26" s="644"/>
      <c r="BC26" s="644"/>
      <c r="BD26" s="644"/>
      <c r="BE26" s="644"/>
      <c r="BF26" s="644"/>
      <c r="BG26" s="644"/>
      <c r="BH26" s="644"/>
      <c r="BI26" s="644"/>
      <c r="BJ26" s="644"/>
      <c r="BK26" s="644"/>
      <c r="BL26" s="644"/>
      <c r="BM26" s="644"/>
      <c r="BN26" s="644"/>
      <c r="BO26" s="644"/>
      <c r="BP26" s="644"/>
      <c r="BQ26" s="644"/>
      <c r="BR26" s="345"/>
    </row>
    <row r="27" spans="2:70" ht="6" customHeight="1">
      <c r="B27" s="344"/>
      <c r="C27" s="341"/>
      <c r="D27" s="341"/>
      <c r="E27" s="341"/>
      <c r="F27" s="341"/>
      <c r="G27" s="341"/>
      <c r="H27" s="341"/>
      <c r="I27" s="341"/>
      <c r="J27" s="341"/>
      <c r="K27" s="341"/>
      <c r="L27" s="341"/>
      <c r="M27" s="341"/>
      <c r="N27" s="341"/>
      <c r="O27" s="341"/>
      <c r="P27" s="341"/>
      <c r="Q27" s="341"/>
      <c r="R27" s="341"/>
      <c r="S27" s="340"/>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0"/>
    </row>
    <row r="28" spans="2:70" ht="6" customHeight="1">
      <c r="B28" s="348"/>
      <c r="S28" s="345"/>
      <c r="BR28" s="345"/>
    </row>
    <row r="29" spans="2:70" ht="6" customHeight="1">
      <c r="B29" s="348"/>
      <c r="E29" s="647" t="s">
        <v>3004</v>
      </c>
      <c r="F29" s="647"/>
      <c r="G29" s="647"/>
      <c r="H29" s="647"/>
      <c r="I29" s="647"/>
      <c r="J29" s="647"/>
      <c r="K29" s="647"/>
      <c r="L29" s="647"/>
      <c r="M29" s="647"/>
      <c r="N29" s="647"/>
      <c r="O29" s="647"/>
      <c r="P29" s="647"/>
      <c r="Q29" s="647"/>
      <c r="R29" s="647"/>
      <c r="S29" s="648"/>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49"/>
      <c r="AT29" s="649"/>
      <c r="AU29" s="649"/>
      <c r="AV29" s="649"/>
      <c r="AW29" s="649"/>
      <c r="AX29" s="649"/>
      <c r="AY29" s="649"/>
      <c r="AZ29" s="649"/>
      <c r="BA29" s="649"/>
      <c r="BB29" s="649"/>
      <c r="BC29" s="649"/>
      <c r="BD29" s="649"/>
      <c r="BE29" s="649"/>
      <c r="BF29" s="649"/>
      <c r="BG29" s="649"/>
      <c r="BH29" s="649"/>
      <c r="BI29" s="649"/>
      <c r="BJ29" s="649"/>
      <c r="BK29" s="649"/>
      <c r="BL29" s="649"/>
      <c r="BM29" s="649"/>
      <c r="BN29" s="649"/>
      <c r="BO29" s="649"/>
      <c r="BP29" s="649"/>
      <c r="BQ29" s="649"/>
      <c r="BR29" s="345"/>
    </row>
    <row r="30" spans="2:70" ht="6" customHeight="1">
      <c r="B30" s="348"/>
      <c r="E30" s="647"/>
      <c r="F30" s="647"/>
      <c r="G30" s="647"/>
      <c r="H30" s="647"/>
      <c r="I30" s="647"/>
      <c r="J30" s="647"/>
      <c r="K30" s="647"/>
      <c r="L30" s="647"/>
      <c r="M30" s="647"/>
      <c r="N30" s="647"/>
      <c r="O30" s="647"/>
      <c r="P30" s="647"/>
      <c r="Q30" s="647"/>
      <c r="R30" s="647"/>
      <c r="S30" s="648"/>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649"/>
      <c r="BG30" s="649"/>
      <c r="BH30" s="649"/>
      <c r="BI30" s="649"/>
      <c r="BJ30" s="649"/>
      <c r="BK30" s="649"/>
      <c r="BL30" s="649"/>
      <c r="BM30" s="649"/>
      <c r="BN30" s="649"/>
      <c r="BO30" s="649"/>
      <c r="BP30" s="649"/>
      <c r="BQ30" s="649"/>
      <c r="BR30" s="345"/>
    </row>
    <row r="31" spans="2:70" ht="6" customHeight="1">
      <c r="B31" s="645">
        <v>2</v>
      </c>
      <c r="C31" s="640"/>
      <c r="E31" s="647"/>
      <c r="F31" s="647"/>
      <c r="G31" s="647"/>
      <c r="H31" s="647"/>
      <c r="I31" s="647"/>
      <c r="J31" s="647"/>
      <c r="K31" s="647"/>
      <c r="L31" s="647"/>
      <c r="M31" s="647"/>
      <c r="N31" s="647"/>
      <c r="O31" s="647"/>
      <c r="P31" s="647"/>
      <c r="Q31" s="647"/>
      <c r="R31" s="647"/>
      <c r="S31" s="648"/>
      <c r="U31" s="649"/>
      <c r="V31" s="649"/>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49"/>
      <c r="AY31" s="649"/>
      <c r="AZ31" s="649"/>
      <c r="BA31" s="649"/>
      <c r="BB31" s="649"/>
      <c r="BC31" s="649"/>
      <c r="BD31" s="649"/>
      <c r="BE31" s="649"/>
      <c r="BF31" s="649"/>
      <c r="BG31" s="649"/>
      <c r="BH31" s="649"/>
      <c r="BI31" s="649"/>
      <c r="BJ31" s="649"/>
      <c r="BK31" s="649"/>
      <c r="BL31" s="649"/>
      <c r="BM31" s="649"/>
      <c r="BN31" s="649"/>
      <c r="BO31" s="649"/>
      <c r="BP31" s="649"/>
      <c r="BQ31" s="649"/>
      <c r="BR31" s="345"/>
    </row>
    <row r="32" spans="2:70" ht="6" customHeight="1">
      <c r="B32" s="645"/>
      <c r="C32" s="640"/>
      <c r="E32" s="368"/>
      <c r="F32" s="368"/>
      <c r="G32" s="368"/>
      <c r="H32" s="368"/>
      <c r="I32" s="368"/>
      <c r="J32" s="368"/>
      <c r="K32" s="368"/>
      <c r="L32" s="368"/>
      <c r="M32" s="368"/>
      <c r="N32" s="368"/>
      <c r="O32" s="368"/>
      <c r="P32" s="368"/>
      <c r="Q32" s="368"/>
      <c r="R32" s="368"/>
      <c r="S32" s="374"/>
      <c r="U32" s="373"/>
      <c r="V32" s="373"/>
      <c r="W32" s="373"/>
      <c r="X32" s="373"/>
      <c r="Y32" s="373"/>
      <c r="Z32" s="373"/>
      <c r="AA32" s="373"/>
      <c r="AB32" s="373"/>
      <c r="AC32" s="373"/>
      <c r="AD32" s="373"/>
      <c r="AE32" s="373"/>
      <c r="AF32" s="373"/>
      <c r="AG32" s="373"/>
      <c r="AH32" s="373"/>
      <c r="AI32" s="373"/>
      <c r="AJ32" s="373"/>
      <c r="AK32" s="373"/>
      <c r="AL32" s="373"/>
      <c r="AM32" s="373"/>
      <c r="AN32" s="373"/>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R32" s="345"/>
    </row>
    <row r="33" spans="2:70" ht="6" customHeight="1">
      <c r="B33" s="645"/>
      <c r="C33" s="640"/>
      <c r="E33" s="650" t="s">
        <v>3003</v>
      </c>
      <c r="F33" s="650"/>
      <c r="G33" s="650"/>
      <c r="H33" s="650"/>
      <c r="I33" s="650"/>
      <c r="J33" s="650"/>
      <c r="K33" s="650"/>
      <c r="L33" s="650"/>
      <c r="M33" s="650"/>
      <c r="N33" s="650"/>
      <c r="O33" s="650"/>
      <c r="P33" s="650"/>
      <c r="Q33" s="650"/>
      <c r="R33" s="650"/>
      <c r="S33" s="651"/>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c r="AW33" s="634"/>
      <c r="AX33" s="634"/>
      <c r="AY33" s="634"/>
      <c r="AZ33" s="634"/>
      <c r="BA33" s="634"/>
      <c r="BB33" s="634"/>
      <c r="BC33" s="634"/>
      <c r="BD33" s="634"/>
      <c r="BE33" s="634"/>
      <c r="BF33" s="634"/>
      <c r="BG33" s="634"/>
      <c r="BH33" s="634"/>
      <c r="BI33" s="634"/>
      <c r="BJ33" s="634"/>
      <c r="BK33" s="634"/>
      <c r="BL33" s="634"/>
      <c r="BM33" s="634"/>
      <c r="BN33" s="634"/>
      <c r="BO33" s="634"/>
      <c r="BP33" s="634"/>
      <c r="BQ33" s="634"/>
      <c r="BR33" s="345"/>
    </row>
    <row r="34" spans="2:70" ht="6" customHeight="1">
      <c r="B34" s="645"/>
      <c r="C34" s="640"/>
      <c r="E34" s="650"/>
      <c r="F34" s="650"/>
      <c r="G34" s="650"/>
      <c r="H34" s="650"/>
      <c r="I34" s="650"/>
      <c r="J34" s="650"/>
      <c r="K34" s="650"/>
      <c r="L34" s="650"/>
      <c r="M34" s="650"/>
      <c r="N34" s="650"/>
      <c r="O34" s="650"/>
      <c r="P34" s="650"/>
      <c r="Q34" s="650"/>
      <c r="R34" s="650"/>
      <c r="S34" s="651"/>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634"/>
      <c r="BB34" s="634"/>
      <c r="BC34" s="634"/>
      <c r="BD34" s="634"/>
      <c r="BE34" s="634"/>
      <c r="BF34" s="634"/>
      <c r="BG34" s="634"/>
      <c r="BH34" s="634"/>
      <c r="BI34" s="634"/>
      <c r="BJ34" s="634"/>
      <c r="BK34" s="634"/>
      <c r="BL34" s="634"/>
      <c r="BM34" s="634"/>
      <c r="BN34" s="634"/>
      <c r="BO34" s="634"/>
      <c r="BP34" s="634"/>
      <c r="BQ34" s="634"/>
      <c r="BR34" s="345"/>
    </row>
    <row r="35" spans="2:70" ht="6" customHeight="1">
      <c r="B35" s="645"/>
      <c r="C35" s="640"/>
      <c r="E35" s="650"/>
      <c r="F35" s="650"/>
      <c r="G35" s="650"/>
      <c r="H35" s="650"/>
      <c r="I35" s="650"/>
      <c r="J35" s="650"/>
      <c r="K35" s="650"/>
      <c r="L35" s="650"/>
      <c r="M35" s="650"/>
      <c r="N35" s="650"/>
      <c r="O35" s="650"/>
      <c r="P35" s="650"/>
      <c r="Q35" s="650"/>
      <c r="R35" s="650"/>
      <c r="S35" s="651"/>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634"/>
      <c r="AU35" s="634"/>
      <c r="AV35" s="634"/>
      <c r="AW35" s="634"/>
      <c r="AX35" s="634"/>
      <c r="AY35" s="634"/>
      <c r="AZ35" s="634"/>
      <c r="BA35" s="634"/>
      <c r="BB35" s="634"/>
      <c r="BC35" s="634"/>
      <c r="BD35" s="634"/>
      <c r="BE35" s="634"/>
      <c r="BF35" s="634"/>
      <c r="BG35" s="634"/>
      <c r="BH35" s="634"/>
      <c r="BI35" s="634"/>
      <c r="BJ35" s="634"/>
      <c r="BK35" s="634"/>
      <c r="BL35" s="634"/>
      <c r="BM35" s="634"/>
      <c r="BN35" s="634"/>
      <c r="BO35" s="634"/>
      <c r="BP35" s="634"/>
      <c r="BQ35" s="634"/>
      <c r="BR35" s="345"/>
    </row>
    <row r="36" spans="2:70" ht="6" customHeight="1">
      <c r="B36" s="645"/>
      <c r="C36" s="640"/>
      <c r="S36" s="345"/>
      <c r="BR36" s="345"/>
    </row>
    <row r="37" spans="2:70" ht="6" customHeight="1">
      <c r="B37" s="645"/>
      <c r="C37" s="640"/>
      <c r="S37" s="345"/>
      <c r="U37" s="630" t="s">
        <v>3002</v>
      </c>
      <c r="V37" s="630"/>
      <c r="W37" s="630"/>
      <c r="X37" s="630"/>
      <c r="Y37" s="630"/>
      <c r="Z37" s="630"/>
      <c r="AA37" s="630"/>
      <c r="AB37" s="630"/>
      <c r="AC37" s="630"/>
      <c r="AD37" s="630"/>
      <c r="AE37" s="630"/>
      <c r="AF37" s="630"/>
      <c r="AG37" s="631"/>
      <c r="AH37" s="632"/>
      <c r="AI37" s="632"/>
      <c r="AJ37" s="632"/>
      <c r="AK37" s="632"/>
      <c r="AL37" s="632"/>
      <c r="AM37" s="616" t="s">
        <v>3001</v>
      </c>
      <c r="AN37" s="616"/>
      <c r="AO37" s="616"/>
      <c r="AP37" s="616"/>
      <c r="AQ37" s="633"/>
      <c r="AR37" s="633"/>
      <c r="AS37" s="633"/>
      <c r="AT37" s="642"/>
      <c r="AU37" s="642"/>
      <c r="AV37" s="642"/>
      <c r="AW37" s="630" t="s">
        <v>51</v>
      </c>
      <c r="AX37" s="630"/>
      <c r="AY37" s="352"/>
      <c r="AZ37" s="352"/>
      <c r="BA37" s="643" t="s">
        <v>2999</v>
      </c>
      <c r="BB37" s="643"/>
      <c r="BC37" s="642"/>
      <c r="BD37" s="642"/>
      <c r="BE37" s="642"/>
      <c r="BF37" s="642"/>
      <c r="BG37" s="642"/>
      <c r="BH37" s="642"/>
      <c r="BI37" s="642"/>
      <c r="BJ37" s="642"/>
      <c r="BK37" s="642"/>
      <c r="BL37" s="642"/>
      <c r="BM37" s="642"/>
      <c r="BN37" s="642"/>
      <c r="BO37" s="616" t="s">
        <v>466</v>
      </c>
      <c r="BP37" s="616"/>
      <c r="BR37" s="345"/>
    </row>
    <row r="38" spans="2:70" ht="6" customHeight="1">
      <c r="B38" s="348"/>
      <c r="S38" s="345"/>
      <c r="U38" s="630"/>
      <c r="V38" s="630"/>
      <c r="W38" s="630"/>
      <c r="X38" s="630"/>
      <c r="Y38" s="630"/>
      <c r="Z38" s="630"/>
      <c r="AA38" s="630"/>
      <c r="AB38" s="630"/>
      <c r="AC38" s="630"/>
      <c r="AD38" s="630"/>
      <c r="AE38" s="630"/>
      <c r="AF38" s="630"/>
      <c r="AG38" s="632"/>
      <c r="AH38" s="632"/>
      <c r="AI38" s="632"/>
      <c r="AJ38" s="632"/>
      <c r="AK38" s="632"/>
      <c r="AL38" s="632"/>
      <c r="AM38" s="616"/>
      <c r="AN38" s="616"/>
      <c r="AO38" s="616"/>
      <c r="AP38" s="616"/>
      <c r="AQ38" s="633"/>
      <c r="AR38" s="633"/>
      <c r="AS38" s="633"/>
      <c r="AT38" s="642"/>
      <c r="AU38" s="642"/>
      <c r="AV38" s="642"/>
      <c r="AW38" s="630"/>
      <c r="AX38" s="630"/>
      <c r="AY38" s="352"/>
      <c r="AZ38" s="352"/>
      <c r="BA38" s="643"/>
      <c r="BB38" s="643"/>
      <c r="BC38" s="642"/>
      <c r="BD38" s="642"/>
      <c r="BE38" s="642"/>
      <c r="BF38" s="642"/>
      <c r="BG38" s="642"/>
      <c r="BH38" s="642"/>
      <c r="BI38" s="642"/>
      <c r="BJ38" s="642"/>
      <c r="BK38" s="642"/>
      <c r="BL38" s="642"/>
      <c r="BM38" s="642"/>
      <c r="BN38" s="642"/>
      <c r="BO38" s="616"/>
      <c r="BP38" s="616"/>
      <c r="BR38" s="345"/>
    </row>
    <row r="39" spans="2:70" ht="6" customHeight="1">
      <c r="B39" s="348"/>
      <c r="S39" s="345"/>
      <c r="U39" s="630"/>
      <c r="V39" s="630"/>
      <c r="W39" s="630"/>
      <c r="X39" s="630"/>
      <c r="Y39" s="630"/>
      <c r="Z39" s="630"/>
      <c r="AA39" s="630"/>
      <c r="AB39" s="630"/>
      <c r="AC39" s="630"/>
      <c r="AD39" s="630"/>
      <c r="AE39" s="630"/>
      <c r="AF39" s="630"/>
      <c r="AG39" s="632"/>
      <c r="AH39" s="632"/>
      <c r="AI39" s="632"/>
      <c r="AJ39" s="632"/>
      <c r="AK39" s="632"/>
      <c r="AL39" s="632"/>
      <c r="AM39" s="616"/>
      <c r="AN39" s="616"/>
      <c r="AO39" s="616"/>
      <c r="AP39" s="616"/>
      <c r="AQ39" s="633"/>
      <c r="AR39" s="633"/>
      <c r="AS39" s="633"/>
      <c r="AT39" s="642"/>
      <c r="AU39" s="642"/>
      <c r="AV39" s="642"/>
      <c r="AW39" s="630"/>
      <c r="AX39" s="630"/>
      <c r="AY39" s="352"/>
      <c r="AZ39" s="352"/>
      <c r="BA39" s="643"/>
      <c r="BB39" s="643"/>
      <c r="BC39" s="642"/>
      <c r="BD39" s="642"/>
      <c r="BE39" s="642"/>
      <c r="BF39" s="642"/>
      <c r="BG39" s="642"/>
      <c r="BH39" s="642"/>
      <c r="BI39" s="642"/>
      <c r="BJ39" s="642"/>
      <c r="BK39" s="642"/>
      <c r="BL39" s="642"/>
      <c r="BM39" s="642"/>
      <c r="BN39" s="642"/>
      <c r="BO39" s="616"/>
      <c r="BP39" s="616"/>
      <c r="BR39" s="345"/>
    </row>
    <row r="40" spans="2:70" ht="6" customHeight="1">
      <c r="B40" s="344"/>
      <c r="C40" s="341"/>
      <c r="D40" s="341"/>
      <c r="E40" s="341"/>
      <c r="F40" s="341"/>
      <c r="G40" s="341"/>
      <c r="H40" s="341"/>
      <c r="I40" s="341"/>
      <c r="J40" s="341"/>
      <c r="K40" s="341"/>
      <c r="L40" s="341"/>
      <c r="M40" s="341"/>
      <c r="N40" s="341"/>
      <c r="O40" s="341"/>
      <c r="P40" s="341"/>
      <c r="Q40" s="341"/>
      <c r="R40" s="341"/>
      <c r="S40" s="340"/>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0"/>
    </row>
    <row r="41" spans="2:70" ht="6" customHeight="1">
      <c r="B41" s="348"/>
      <c r="P41" s="372"/>
      <c r="Q41" s="372"/>
      <c r="S41" s="345"/>
      <c r="U41" s="652"/>
      <c r="V41" s="652"/>
      <c r="W41" s="652"/>
      <c r="X41" s="652"/>
      <c r="Y41" s="652"/>
      <c r="Z41" s="652"/>
      <c r="AA41" s="652"/>
      <c r="AB41" s="652"/>
      <c r="AC41" s="652"/>
      <c r="AD41" s="652"/>
      <c r="AE41" s="652"/>
      <c r="AF41" s="652"/>
      <c r="AG41" s="652"/>
      <c r="AH41" s="652"/>
      <c r="AI41" s="652"/>
      <c r="AJ41" s="652"/>
      <c r="AK41" s="652"/>
      <c r="AL41" s="652"/>
      <c r="AM41" s="652"/>
      <c r="AN41" s="652"/>
      <c r="AP41" s="630" t="s">
        <v>3000</v>
      </c>
      <c r="AQ41" s="630"/>
      <c r="AR41" s="630"/>
      <c r="AS41" s="630"/>
      <c r="AT41" s="630"/>
      <c r="AU41" s="630"/>
      <c r="AV41" s="630"/>
      <c r="AW41" s="630"/>
      <c r="AX41" s="630"/>
      <c r="AY41" s="630"/>
      <c r="AZ41" s="643" t="s">
        <v>2999</v>
      </c>
      <c r="BA41" s="643"/>
      <c r="BB41" s="642"/>
      <c r="BC41" s="642"/>
      <c r="BD41" s="642"/>
      <c r="BE41" s="642"/>
      <c r="BF41" s="642"/>
      <c r="BG41" s="642"/>
      <c r="BH41" s="642"/>
      <c r="BI41" s="642"/>
      <c r="BJ41" s="642"/>
      <c r="BK41" s="642"/>
      <c r="BL41" s="642"/>
      <c r="BM41" s="642"/>
      <c r="BN41" s="642"/>
      <c r="BO41" s="616" t="s">
        <v>466</v>
      </c>
      <c r="BP41" s="616"/>
      <c r="BQ41" s="352"/>
      <c r="BR41" s="345"/>
    </row>
    <row r="42" spans="2:70" ht="6" customHeight="1">
      <c r="B42" s="348"/>
      <c r="P42" s="372"/>
      <c r="Q42" s="372"/>
      <c r="S42" s="345"/>
      <c r="U42" s="652"/>
      <c r="V42" s="652"/>
      <c r="W42" s="652"/>
      <c r="X42" s="652"/>
      <c r="Y42" s="652"/>
      <c r="Z42" s="652"/>
      <c r="AA42" s="652"/>
      <c r="AB42" s="652"/>
      <c r="AC42" s="652"/>
      <c r="AD42" s="652"/>
      <c r="AE42" s="652"/>
      <c r="AF42" s="652"/>
      <c r="AG42" s="652"/>
      <c r="AH42" s="652"/>
      <c r="AI42" s="652"/>
      <c r="AJ42" s="652"/>
      <c r="AK42" s="652"/>
      <c r="AL42" s="652"/>
      <c r="AM42" s="652"/>
      <c r="AN42" s="652"/>
      <c r="AP42" s="630"/>
      <c r="AQ42" s="630"/>
      <c r="AR42" s="630"/>
      <c r="AS42" s="630"/>
      <c r="AT42" s="630"/>
      <c r="AU42" s="630"/>
      <c r="AV42" s="630"/>
      <c r="AW42" s="630"/>
      <c r="AX42" s="630"/>
      <c r="AY42" s="630"/>
      <c r="AZ42" s="643"/>
      <c r="BA42" s="643"/>
      <c r="BB42" s="642"/>
      <c r="BC42" s="642"/>
      <c r="BD42" s="642"/>
      <c r="BE42" s="642"/>
      <c r="BF42" s="642"/>
      <c r="BG42" s="642"/>
      <c r="BH42" s="642"/>
      <c r="BI42" s="642"/>
      <c r="BJ42" s="642"/>
      <c r="BK42" s="642"/>
      <c r="BL42" s="642"/>
      <c r="BM42" s="642"/>
      <c r="BN42" s="642"/>
      <c r="BO42" s="616"/>
      <c r="BP42" s="616"/>
      <c r="BQ42" s="352"/>
      <c r="BR42" s="345"/>
    </row>
    <row r="43" spans="2:70" ht="6" customHeight="1">
      <c r="B43" s="645">
        <v>3</v>
      </c>
      <c r="C43" s="640"/>
      <c r="E43" s="638" t="s">
        <v>2998</v>
      </c>
      <c r="F43" s="638"/>
      <c r="G43" s="638"/>
      <c r="H43" s="638"/>
      <c r="I43" s="638"/>
      <c r="J43" s="638"/>
      <c r="K43" s="638"/>
      <c r="L43" s="638"/>
      <c r="M43" s="638"/>
      <c r="N43" s="638"/>
      <c r="O43" s="638"/>
      <c r="P43" s="638"/>
      <c r="Q43" s="638"/>
      <c r="R43" s="638"/>
      <c r="S43" s="345"/>
      <c r="U43" s="652"/>
      <c r="V43" s="652"/>
      <c r="W43" s="652"/>
      <c r="X43" s="652"/>
      <c r="Y43" s="652"/>
      <c r="Z43" s="652"/>
      <c r="AA43" s="652"/>
      <c r="AB43" s="652"/>
      <c r="AC43" s="652"/>
      <c r="AD43" s="652"/>
      <c r="AE43" s="652"/>
      <c r="AF43" s="652"/>
      <c r="AG43" s="652"/>
      <c r="AH43" s="652"/>
      <c r="AI43" s="652"/>
      <c r="AJ43" s="652"/>
      <c r="AK43" s="652"/>
      <c r="AL43" s="652"/>
      <c r="AM43" s="652"/>
      <c r="AN43" s="652"/>
      <c r="AP43" s="630"/>
      <c r="AQ43" s="630"/>
      <c r="AR43" s="630"/>
      <c r="AS43" s="630"/>
      <c r="AT43" s="630"/>
      <c r="AU43" s="630"/>
      <c r="AV43" s="630"/>
      <c r="AW43" s="630"/>
      <c r="AX43" s="630"/>
      <c r="AY43" s="630"/>
      <c r="AZ43" s="643"/>
      <c r="BA43" s="643"/>
      <c r="BB43" s="642"/>
      <c r="BC43" s="642"/>
      <c r="BD43" s="642"/>
      <c r="BE43" s="642"/>
      <c r="BF43" s="642"/>
      <c r="BG43" s="642"/>
      <c r="BH43" s="642"/>
      <c r="BI43" s="642"/>
      <c r="BJ43" s="642"/>
      <c r="BK43" s="642"/>
      <c r="BL43" s="642"/>
      <c r="BM43" s="642"/>
      <c r="BN43" s="642"/>
      <c r="BO43" s="616"/>
      <c r="BP43" s="616"/>
      <c r="BQ43" s="352"/>
      <c r="BR43" s="345"/>
    </row>
    <row r="44" spans="2:70" ht="6" customHeight="1">
      <c r="B44" s="645"/>
      <c r="C44" s="640"/>
      <c r="E44" s="638"/>
      <c r="F44" s="638"/>
      <c r="G44" s="638"/>
      <c r="H44" s="638"/>
      <c r="I44" s="638"/>
      <c r="J44" s="638"/>
      <c r="K44" s="638"/>
      <c r="L44" s="638"/>
      <c r="M44" s="638"/>
      <c r="N44" s="638"/>
      <c r="O44" s="638"/>
      <c r="P44" s="638"/>
      <c r="Q44" s="638"/>
      <c r="R44" s="638"/>
      <c r="S44" s="345"/>
      <c r="U44" s="652"/>
      <c r="V44" s="652"/>
      <c r="W44" s="652"/>
      <c r="X44" s="652"/>
      <c r="Y44" s="652"/>
      <c r="Z44" s="652"/>
      <c r="AA44" s="652"/>
      <c r="AB44" s="652"/>
      <c r="AC44" s="652"/>
      <c r="AD44" s="652"/>
      <c r="AE44" s="652"/>
      <c r="AF44" s="652"/>
      <c r="AG44" s="652"/>
      <c r="AH44" s="652"/>
      <c r="AI44" s="652"/>
      <c r="AJ44" s="652"/>
      <c r="AK44" s="652"/>
      <c r="AL44" s="652"/>
      <c r="AM44" s="652"/>
      <c r="AN44" s="652"/>
      <c r="AP44" s="630"/>
      <c r="AQ44" s="630"/>
      <c r="AR44" s="630"/>
      <c r="AS44" s="630"/>
      <c r="AT44" s="630"/>
      <c r="AU44" s="630"/>
      <c r="AV44" s="630"/>
      <c r="AW44" s="630"/>
      <c r="AX44" s="630"/>
      <c r="AY44" s="630"/>
      <c r="AZ44" s="643"/>
      <c r="BA44" s="643"/>
      <c r="BB44" s="642"/>
      <c r="BC44" s="642"/>
      <c r="BD44" s="642"/>
      <c r="BE44" s="642"/>
      <c r="BF44" s="642"/>
      <c r="BG44" s="642"/>
      <c r="BH44" s="642"/>
      <c r="BI44" s="642"/>
      <c r="BJ44" s="642"/>
      <c r="BK44" s="642"/>
      <c r="BL44" s="642"/>
      <c r="BM44" s="642"/>
      <c r="BN44" s="642"/>
      <c r="BO44" s="616"/>
      <c r="BP44" s="616"/>
      <c r="BQ44" s="352"/>
      <c r="BR44" s="345"/>
    </row>
    <row r="45" spans="2:70" ht="6" customHeight="1">
      <c r="B45" s="348"/>
      <c r="S45" s="345"/>
      <c r="U45" s="652"/>
      <c r="V45" s="652"/>
      <c r="W45" s="652"/>
      <c r="X45" s="652"/>
      <c r="Y45" s="652"/>
      <c r="Z45" s="652"/>
      <c r="AA45" s="652"/>
      <c r="AB45" s="652"/>
      <c r="AC45" s="652"/>
      <c r="AD45" s="652"/>
      <c r="AE45" s="652"/>
      <c r="AF45" s="652"/>
      <c r="AG45" s="652"/>
      <c r="AH45" s="652"/>
      <c r="AI45" s="652"/>
      <c r="AJ45" s="652"/>
      <c r="AK45" s="652"/>
      <c r="AL45" s="652"/>
      <c r="AM45" s="652"/>
      <c r="AN45" s="652"/>
      <c r="AP45" s="630"/>
      <c r="AQ45" s="630"/>
      <c r="AR45" s="630"/>
      <c r="AS45" s="630"/>
      <c r="AT45" s="630"/>
      <c r="AU45" s="630"/>
      <c r="AV45" s="630"/>
      <c r="AW45" s="630"/>
      <c r="AX45" s="630"/>
      <c r="AY45" s="630"/>
      <c r="AZ45" s="643"/>
      <c r="BA45" s="643"/>
      <c r="BB45" s="642"/>
      <c r="BC45" s="642"/>
      <c r="BD45" s="642"/>
      <c r="BE45" s="642"/>
      <c r="BF45" s="642"/>
      <c r="BG45" s="642"/>
      <c r="BH45" s="642"/>
      <c r="BI45" s="642"/>
      <c r="BJ45" s="642"/>
      <c r="BK45" s="642"/>
      <c r="BL45" s="642"/>
      <c r="BM45" s="642"/>
      <c r="BN45" s="642"/>
      <c r="BO45" s="616"/>
      <c r="BP45" s="616"/>
      <c r="BQ45" s="352"/>
      <c r="BR45" s="345"/>
    </row>
    <row r="46" spans="2:70" ht="6" customHeight="1">
      <c r="B46" s="344"/>
      <c r="J46" s="371"/>
      <c r="K46" s="371"/>
      <c r="L46" s="371"/>
      <c r="M46" s="371"/>
      <c r="N46" s="371"/>
      <c r="S46" s="345"/>
      <c r="U46" s="652"/>
      <c r="V46" s="652"/>
      <c r="W46" s="652"/>
      <c r="X46" s="652"/>
      <c r="Y46" s="652"/>
      <c r="Z46" s="652"/>
      <c r="AA46" s="652"/>
      <c r="AB46" s="652"/>
      <c r="AC46" s="652"/>
      <c r="AD46" s="652"/>
      <c r="AE46" s="652"/>
      <c r="AF46" s="652"/>
      <c r="AG46" s="652"/>
      <c r="AH46" s="652"/>
      <c r="AI46" s="652"/>
      <c r="AJ46" s="652"/>
      <c r="AK46" s="652"/>
      <c r="AL46" s="652"/>
      <c r="AM46" s="652"/>
      <c r="AN46" s="652"/>
      <c r="AP46" s="630"/>
      <c r="AQ46" s="630"/>
      <c r="AR46" s="630"/>
      <c r="AS46" s="630"/>
      <c r="AT46" s="630"/>
      <c r="AU46" s="630"/>
      <c r="AV46" s="630"/>
      <c r="AW46" s="630"/>
      <c r="AX46" s="630"/>
      <c r="AY46" s="630"/>
      <c r="AZ46" s="643"/>
      <c r="BA46" s="643"/>
      <c r="BB46" s="642"/>
      <c r="BC46" s="642"/>
      <c r="BD46" s="642"/>
      <c r="BE46" s="642"/>
      <c r="BF46" s="642"/>
      <c r="BG46" s="642"/>
      <c r="BH46" s="642"/>
      <c r="BI46" s="642"/>
      <c r="BJ46" s="642"/>
      <c r="BK46" s="642"/>
      <c r="BL46" s="642"/>
      <c r="BM46" s="642"/>
      <c r="BN46" s="642"/>
      <c r="BO46" s="616"/>
      <c r="BP46" s="616"/>
      <c r="BQ46" s="352"/>
      <c r="BR46" s="345"/>
    </row>
    <row r="47" spans="2:70" ht="6" customHeight="1">
      <c r="B47" s="348"/>
      <c r="C47" s="370"/>
      <c r="D47" s="370"/>
      <c r="E47" s="370"/>
      <c r="F47" s="370"/>
      <c r="G47" s="370"/>
      <c r="H47" s="370"/>
      <c r="I47" s="370"/>
      <c r="J47" s="370"/>
      <c r="K47" s="370"/>
      <c r="L47" s="370"/>
      <c r="M47" s="370"/>
      <c r="N47" s="370"/>
      <c r="O47" s="370"/>
      <c r="P47" s="370"/>
      <c r="Q47" s="370"/>
      <c r="R47" s="370"/>
      <c r="S47" s="369"/>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70"/>
      <c r="BR47" s="369"/>
    </row>
    <row r="48" spans="2:70" ht="6" customHeight="1">
      <c r="B48" s="645">
        <v>4</v>
      </c>
      <c r="C48" s="640"/>
      <c r="E48" s="638" t="s">
        <v>2997</v>
      </c>
      <c r="F48" s="638"/>
      <c r="G48" s="638"/>
      <c r="H48" s="638"/>
      <c r="I48" s="638"/>
      <c r="J48" s="638"/>
      <c r="K48" s="638"/>
      <c r="L48" s="638"/>
      <c r="M48" s="638"/>
      <c r="N48" s="638"/>
      <c r="O48" s="638"/>
      <c r="P48" s="638"/>
      <c r="Q48" s="638"/>
      <c r="R48" s="638"/>
      <c r="S48" s="345"/>
      <c r="U48" s="644" t="str">
        <f>cst_wskakunin_BUILD__address</f>
        <v>静岡県静岡市葵区平和二丁目215-8</v>
      </c>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345"/>
    </row>
    <row r="49" spans="2:70" ht="6" customHeight="1">
      <c r="B49" s="645"/>
      <c r="C49" s="640"/>
      <c r="E49" s="638"/>
      <c r="F49" s="638"/>
      <c r="G49" s="638"/>
      <c r="H49" s="638"/>
      <c r="I49" s="638"/>
      <c r="J49" s="638"/>
      <c r="K49" s="638"/>
      <c r="L49" s="638"/>
      <c r="M49" s="638"/>
      <c r="N49" s="638"/>
      <c r="O49" s="638"/>
      <c r="P49" s="638"/>
      <c r="Q49" s="638"/>
      <c r="R49" s="638"/>
      <c r="S49" s="345"/>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O49" s="644"/>
      <c r="BP49" s="644"/>
      <c r="BQ49" s="644"/>
      <c r="BR49" s="345"/>
    </row>
    <row r="50" spans="2:70" ht="6" customHeight="1">
      <c r="B50" s="645"/>
      <c r="C50" s="640"/>
      <c r="E50" s="638"/>
      <c r="F50" s="638"/>
      <c r="G50" s="638"/>
      <c r="H50" s="638"/>
      <c r="I50" s="638"/>
      <c r="J50" s="638"/>
      <c r="K50" s="638"/>
      <c r="L50" s="638"/>
      <c r="M50" s="638"/>
      <c r="N50" s="638"/>
      <c r="O50" s="638"/>
      <c r="P50" s="638"/>
      <c r="Q50" s="638"/>
      <c r="R50" s="638"/>
      <c r="S50" s="345"/>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4"/>
      <c r="BN50" s="644"/>
      <c r="BO50" s="644"/>
      <c r="BP50" s="644"/>
      <c r="BQ50" s="644"/>
      <c r="BR50" s="345"/>
    </row>
    <row r="51" spans="2:70" ht="6" customHeight="1">
      <c r="B51" s="344"/>
      <c r="C51" s="341"/>
      <c r="D51" s="341"/>
      <c r="E51" s="341"/>
      <c r="F51" s="341"/>
      <c r="G51" s="341"/>
      <c r="H51" s="341"/>
      <c r="I51" s="341"/>
      <c r="J51" s="341"/>
      <c r="K51" s="341"/>
      <c r="L51" s="341"/>
      <c r="M51" s="341"/>
      <c r="N51" s="341"/>
      <c r="O51" s="341"/>
      <c r="P51" s="341"/>
      <c r="Q51" s="341"/>
      <c r="R51" s="341"/>
      <c r="S51" s="340"/>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0"/>
    </row>
    <row r="52" spans="2:70" ht="6" customHeight="1">
      <c r="B52" s="348"/>
      <c r="S52" s="345"/>
      <c r="BR52" s="345"/>
    </row>
    <row r="53" spans="2:70" ht="6" customHeight="1">
      <c r="B53" s="645">
        <v>5</v>
      </c>
      <c r="C53" s="640"/>
      <c r="E53" s="638" t="s">
        <v>2996</v>
      </c>
      <c r="F53" s="638"/>
      <c r="G53" s="638"/>
      <c r="H53" s="638"/>
      <c r="I53" s="638"/>
      <c r="J53" s="638"/>
      <c r="K53" s="638"/>
      <c r="L53" s="638"/>
      <c r="M53" s="638"/>
      <c r="N53" s="638"/>
      <c r="O53" s="638"/>
      <c r="P53" s="638"/>
      <c r="Q53" s="638"/>
      <c r="R53" s="638"/>
      <c r="S53" s="345"/>
      <c r="U53" s="660" t="str">
        <f>cst_wskakunin_YOUTO</f>
        <v/>
      </c>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c r="BA53" s="660"/>
      <c r="BB53" s="660"/>
      <c r="BC53" s="660"/>
      <c r="BD53" s="660"/>
      <c r="BE53" s="660"/>
      <c r="BF53" s="660"/>
      <c r="BG53" s="660"/>
      <c r="BH53" s="660"/>
      <c r="BI53" s="660"/>
      <c r="BJ53" s="660"/>
      <c r="BK53" s="660"/>
      <c r="BL53" s="660"/>
      <c r="BM53" s="660"/>
      <c r="BN53" s="352"/>
      <c r="BO53" s="352"/>
      <c r="BP53" s="352"/>
      <c r="BQ53" s="352"/>
      <c r="BR53" s="345"/>
    </row>
    <row r="54" spans="2:70" ht="6" customHeight="1">
      <c r="B54" s="645"/>
      <c r="C54" s="640"/>
      <c r="E54" s="638"/>
      <c r="F54" s="638"/>
      <c r="G54" s="638"/>
      <c r="H54" s="638"/>
      <c r="I54" s="638"/>
      <c r="J54" s="638"/>
      <c r="K54" s="638"/>
      <c r="L54" s="638"/>
      <c r="M54" s="638"/>
      <c r="N54" s="638"/>
      <c r="O54" s="638"/>
      <c r="P54" s="638"/>
      <c r="Q54" s="638"/>
      <c r="R54" s="638"/>
      <c r="S54" s="345"/>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c r="BA54" s="660"/>
      <c r="BB54" s="660"/>
      <c r="BC54" s="660"/>
      <c r="BD54" s="660"/>
      <c r="BE54" s="660"/>
      <c r="BF54" s="660"/>
      <c r="BG54" s="660"/>
      <c r="BH54" s="660"/>
      <c r="BI54" s="660"/>
      <c r="BJ54" s="660"/>
      <c r="BK54" s="660"/>
      <c r="BL54" s="660"/>
      <c r="BM54" s="660"/>
      <c r="BN54" s="352"/>
      <c r="BO54" s="352"/>
      <c r="BP54" s="352"/>
      <c r="BQ54" s="352"/>
      <c r="BR54" s="345"/>
    </row>
    <row r="55" spans="2:70" ht="6" customHeight="1">
      <c r="B55" s="645"/>
      <c r="C55" s="640"/>
      <c r="E55" s="638"/>
      <c r="F55" s="638"/>
      <c r="G55" s="638"/>
      <c r="H55" s="638"/>
      <c r="I55" s="638"/>
      <c r="J55" s="638"/>
      <c r="K55" s="638"/>
      <c r="L55" s="638"/>
      <c r="M55" s="638"/>
      <c r="N55" s="638"/>
      <c r="O55" s="638"/>
      <c r="P55" s="638"/>
      <c r="Q55" s="638"/>
      <c r="R55" s="638"/>
      <c r="S55" s="345"/>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c r="BA55" s="660"/>
      <c r="BB55" s="660"/>
      <c r="BC55" s="660"/>
      <c r="BD55" s="660"/>
      <c r="BE55" s="660"/>
      <c r="BF55" s="660"/>
      <c r="BG55" s="660"/>
      <c r="BH55" s="660"/>
      <c r="BI55" s="660"/>
      <c r="BJ55" s="660"/>
      <c r="BK55" s="660"/>
      <c r="BL55" s="660"/>
      <c r="BM55" s="660"/>
      <c r="BN55" s="352"/>
      <c r="BO55" s="352"/>
      <c r="BP55" s="352"/>
      <c r="BQ55" s="352"/>
      <c r="BR55" s="345"/>
    </row>
    <row r="56" spans="2:70" ht="6" customHeight="1">
      <c r="B56" s="344"/>
      <c r="C56" s="341"/>
      <c r="D56" s="341"/>
      <c r="E56" s="341"/>
      <c r="F56" s="341"/>
      <c r="G56" s="341"/>
      <c r="H56" s="341"/>
      <c r="I56" s="341"/>
      <c r="J56" s="341"/>
      <c r="K56" s="341"/>
      <c r="L56" s="341"/>
      <c r="M56" s="341"/>
      <c r="N56" s="341"/>
      <c r="O56" s="341"/>
      <c r="P56" s="341"/>
      <c r="Q56" s="341"/>
      <c r="R56" s="341"/>
      <c r="S56" s="340"/>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0"/>
    </row>
    <row r="57" spans="2:70" ht="6" customHeight="1">
      <c r="B57" s="355">
        <v>6</v>
      </c>
      <c r="O57" s="347"/>
      <c r="S57" s="345"/>
      <c r="Z57" s="369"/>
      <c r="AG57" s="345"/>
      <c r="BR57" s="345"/>
    </row>
    <row r="58" spans="2:70" ht="6" customHeight="1">
      <c r="B58" s="355"/>
      <c r="O58" s="347"/>
      <c r="S58" s="345"/>
      <c r="Z58" s="345"/>
      <c r="AG58" s="345"/>
      <c r="AI58" s="616" t="s">
        <v>2995</v>
      </c>
      <c r="AJ58" s="616"/>
      <c r="AK58" s="616"/>
      <c r="AL58" s="616"/>
      <c r="AM58" s="622"/>
      <c r="AN58" s="622"/>
      <c r="AO58" s="622"/>
      <c r="AP58" s="622"/>
      <c r="AQ58" s="622"/>
      <c r="AR58" s="622"/>
      <c r="AS58" s="622"/>
      <c r="AT58" s="622"/>
      <c r="AU58" s="616" t="s">
        <v>2994</v>
      </c>
      <c r="AV58" s="616"/>
      <c r="AW58" s="616"/>
      <c r="AX58" s="616"/>
      <c r="AY58" s="616"/>
      <c r="AZ58" s="616"/>
      <c r="BA58" s="622"/>
      <c r="BB58" s="622"/>
      <c r="BC58" s="622"/>
      <c r="BD58" s="622"/>
      <c r="BE58" s="622"/>
      <c r="BF58" s="622"/>
      <c r="BG58" s="622"/>
      <c r="BH58" s="622"/>
      <c r="BI58" s="622"/>
      <c r="BJ58" s="622"/>
      <c r="BK58" s="622"/>
      <c r="BL58" s="622"/>
      <c r="BM58" s="622"/>
      <c r="BN58" s="622"/>
      <c r="BO58" s="622"/>
      <c r="BP58" s="622"/>
      <c r="BQ58" s="640" t="s">
        <v>4</v>
      </c>
      <c r="BR58" s="345"/>
    </row>
    <row r="59" spans="2:70" ht="6" customHeight="1">
      <c r="B59" s="355"/>
      <c r="O59" s="347"/>
      <c r="S59" s="345"/>
      <c r="Z59" s="345"/>
      <c r="AG59" s="345"/>
      <c r="AI59" s="616"/>
      <c r="AJ59" s="616"/>
      <c r="AK59" s="616"/>
      <c r="AL59" s="616"/>
      <c r="AM59" s="622"/>
      <c r="AN59" s="622"/>
      <c r="AO59" s="622"/>
      <c r="AP59" s="622"/>
      <c r="AQ59" s="622"/>
      <c r="AR59" s="622"/>
      <c r="AS59" s="622"/>
      <c r="AT59" s="622"/>
      <c r="AU59" s="616"/>
      <c r="AV59" s="616"/>
      <c r="AW59" s="616"/>
      <c r="AX59" s="616"/>
      <c r="AY59" s="616"/>
      <c r="AZ59" s="616"/>
      <c r="BA59" s="622"/>
      <c r="BB59" s="622"/>
      <c r="BC59" s="622"/>
      <c r="BD59" s="622"/>
      <c r="BE59" s="622"/>
      <c r="BF59" s="622"/>
      <c r="BG59" s="622"/>
      <c r="BH59" s="622"/>
      <c r="BI59" s="622"/>
      <c r="BJ59" s="622"/>
      <c r="BK59" s="622"/>
      <c r="BL59" s="622"/>
      <c r="BM59" s="622"/>
      <c r="BN59" s="622"/>
      <c r="BO59" s="622"/>
      <c r="BP59" s="622"/>
      <c r="BQ59" s="640"/>
      <c r="BR59" s="345"/>
    </row>
    <row r="60" spans="2:70" ht="6" customHeight="1">
      <c r="B60" s="355"/>
      <c r="O60" s="347"/>
      <c r="S60" s="345"/>
      <c r="Z60" s="345"/>
      <c r="AG60" s="345"/>
      <c r="AH60" s="344"/>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c r="BP60" s="341"/>
      <c r="BQ60" s="341"/>
      <c r="BR60" s="340"/>
    </row>
    <row r="61" spans="2:70" ht="6" customHeight="1">
      <c r="B61" s="645">
        <v>6</v>
      </c>
      <c r="C61" s="640"/>
      <c r="E61" s="638" t="s">
        <v>2993</v>
      </c>
      <c r="F61" s="638"/>
      <c r="G61" s="638"/>
      <c r="H61" s="638"/>
      <c r="I61" s="638"/>
      <c r="J61" s="638"/>
      <c r="K61" s="638"/>
      <c r="L61" s="638"/>
      <c r="M61" s="638"/>
      <c r="N61" s="638"/>
      <c r="O61" s="638"/>
      <c r="P61" s="638"/>
      <c r="Q61" s="638"/>
      <c r="R61" s="638"/>
      <c r="S61" s="345"/>
      <c r="T61" s="653"/>
      <c r="U61" s="654"/>
      <c r="V61" s="654"/>
      <c r="W61" s="654"/>
      <c r="X61" s="655" t="s">
        <v>2989</v>
      </c>
      <c r="Y61" s="655"/>
      <c r="Z61" s="345"/>
      <c r="AA61" s="616" t="s">
        <v>2992</v>
      </c>
      <c r="AB61" s="616"/>
      <c r="AC61" s="616"/>
      <c r="AD61" s="616"/>
      <c r="AE61" s="616"/>
      <c r="AF61" s="616"/>
      <c r="AG61" s="656"/>
      <c r="AH61" s="368"/>
      <c r="AI61" s="368"/>
      <c r="AJ61" s="368"/>
      <c r="AK61" s="368"/>
      <c r="AL61" s="368"/>
      <c r="AM61" s="368"/>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45"/>
    </row>
    <row r="62" spans="2:70" ht="6" customHeight="1">
      <c r="B62" s="645"/>
      <c r="C62" s="640"/>
      <c r="E62" s="638"/>
      <c r="F62" s="638"/>
      <c r="G62" s="638"/>
      <c r="H62" s="638"/>
      <c r="I62" s="638"/>
      <c r="J62" s="638"/>
      <c r="K62" s="638"/>
      <c r="L62" s="638"/>
      <c r="M62" s="638"/>
      <c r="N62" s="638"/>
      <c r="O62" s="638"/>
      <c r="P62" s="638"/>
      <c r="Q62" s="638"/>
      <c r="R62" s="638"/>
      <c r="S62" s="345"/>
      <c r="T62" s="653"/>
      <c r="U62" s="654"/>
      <c r="V62" s="654"/>
      <c r="W62" s="654"/>
      <c r="X62" s="655"/>
      <c r="Y62" s="655"/>
      <c r="Z62" s="345"/>
      <c r="AA62" s="616"/>
      <c r="AB62" s="616"/>
      <c r="AC62" s="616"/>
      <c r="AD62" s="616"/>
      <c r="AE62" s="616"/>
      <c r="AF62" s="616"/>
      <c r="AG62" s="656"/>
      <c r="AH62" s="657" t="s">
        <v>2991</v>
      </c>
      <c r="AI62" s="658"/>
      <c r="AJ62" s="658"/>
      <c r="AK62" s="658"/>
      <c r="AL62" s="658"/>
      <c r="AM62" s="658"/>
      <c r="AN62" s="634"/>
      <c r="AO62" s="634"/>
      <c r="AP62" s="634"/>
      <c r="AQ62" s="634"/>
      <c r="AR62" s="634"/>
      <c r="AS62" s="634"/>
      <c r="AT62" s="634"/>
      <c r="AU62" s="634"/>
      <c r="AV62" s="634"/>
      <c r="AW62" s="634"/>
      <c r="AX62" s="634"/>
      <c r="AY62" s="634"/>
      <c r="AZ62" s="634"/>
      <c r="BA62" s="634"/>
      <c r="BB62" s="634"/>
      <c r="BC62" s="634"/>
      <c r="BD62" s="634"/>
      <c r="BE62" s="634"/>
      <c r="BF62" s="634"/>
      <c r="BG62" s="634"/>
      <c r="BH62" s="634"/>
      <c r="BI62" s="634"/>
      <c r="BJ62" s="634"/>
      <c r="BK62" s="634"/>
      <c r="BL62" s="634"/>
      <c r="BM62" s="634"/>
      <c r="BN62" s="634"/>
      <c r="BO62" s="634"/>
      <c r="BP62" s="634"/>
      <c r="BQ62" s="634"/>
      <c r="BR62" s="659"/>
    </row>
    <row r="63" spans="2:70" ht="6" customHeight="1">
      <c r="B63" s="645"/>
      <c r="C63" s="640"/>
      <c r="E63" s="638"/>
      <c r="F63" s="638"/>
      <c r="G63" s="638"/>
      <c r="H63" s="638"/>
      <c r="I63" s="638"/>
      <c r="J63" s="638"/>
      <c r="K63" s="638"/>
      <c r="L63" s="638"/>
      <c r="M63" s="638"/>
      <c r="N63" s="638"/>
      <c r="O63" s="638"/>
      <c r="P63" s="638"/>
      <c r="Q63" s="638"/>
      <c r="R63" s="638"/>
      <c r="S63" s="345"/>
      <c r="T63" s="653"/>
      <c r="U63" s="654"/>
      <c r="V63" s="654"/>
      <c r="W63" s="654"/>
      <c r="X63" s="655"/>
      <c r="Y63" s="655"/>
      <c r="Z63" s="345"/>
      <c r="AA63" s="616"/>
      <c r="AB63" s="616"/>
      <c r="AC63" s="616"/>
      <c r="AD63" s="616"/>
      <c r="AE63" s="616"/>
      <c r="AF63" s="616"/>
      <c r="AG63" s="656"/>
      <c r="AH63" s="657"/>
      <c r="AI63" s="658"/>
      <c r="AJ63" s="658"/>
      <c r="AK63" s="658"/>
      <c r="AL63" s="658"/>
      <c r="AM63" s="658"/>
      <c r="AN63" s="634"/>
      <c r="AO63" s="634"/>
      <c r="AP63" s="634"/>
      <c r="AQ63" s="634"/>
      <c r="AR63" s="634"/>
      <c r="AS63" s="634"/>
      <c r="AT63" s="634"/>
      <c r="AU63" s="634"/>
      <c r="AV63" s="634"/>
      <c r="AW63" s="634"/>
      <c r="AX63" s="634"/>
      <c r="AY63" s="634"/>
      <c r="AZ63" s="634"/>
      <c r="BA63" s="634"/>
      <c r="BB63" s="634"/>
      <c r="BC63" s="634"/>
      <c r="BD63" s="634"/>
      <c r="BE63" s="634"/>
      <c r="BF63" s="634"/>
      <c r="BG63" s="634"/>
      <c r="BH63" s="634"/>
      <c r="BI63" s="634"/>
      <c r="BJ63" s="634"/>
      <c r="BK63" s="634"/>
      <c r="BL63" s="634"/>
      <c r="BM63" s="634"/>
      <c r="BN63" s="634"/>
      <c r="BO63" s="634"/>
      <c r="BP63" s="634"/>
      <c r="BQ63" s="634"/>
      <c r="BR63" s="659"/>
    </row>
    <row r="64" spans="2:70" ht="6" customHeight="1">
      <c r="B64" s="645"/>
      <c r="C64" s="640"/>
      <c r="E64" s="638"/>
      <c r="F64" s="638"/>
      <c r="G64" s="638"/>
      <c r="H64" s="638"/>
      <c r="I64" s="638"/>
      <c r="J64" s="638"/>
      <c r="K64" s="638"/>
      <c r="L64" s="638"/>
      <c r="M64" s="638"/>
      <c r="N64" s="638"/>
      <c r="O64" s="638"/>
      <c r="P64" s="638"/>
      <c r="Q64" s="638"/>
      <c r="R64" s="638"/>
      <c r="S64" s="345"/>
      <c r="T64" s="653"/>
      <c r="U64" s="654"/>
      <c r="V64" s="654"/>
      <c r="W64" s="654"/>
      <c r="X64" s="655"/>
      <c r="Y64" s="655"/>
      <c r="Z64" s="345"/>
      <c r="AA64" s="616"/>
      <c r="AB64" s="616"/>
      <c r="AC64" s="616"/>
      <c r="AD64" s="616"/>
      <c r="AE64" s="616"/>
      <c r="AF64" s="616"/>
      <c r="AG64" s="656"/>
      <c r="AI64" s="623"/>
      <c r="AJ64" s="623"/>
      <c r="AK64" s="623"/>
      <c r="AL64" s="623"/>
      <c r="AM64" s="623"/>
      <c r="AN64" s="623"/>
      <c r="AO64" s="623"/>
      <c r="AP64" s="623"/>
      <c r="AQ64" s="623"/>
      <c r="AR64" s="623"/>
      <c r="AS64" s="623"/>
      <c r="AT64" s="623"/>
      <c r="AU64" s="623"/>
      <c r="AV64" s="623"/>
      <c r="AW64" s="623"/>
      <c r="AX64" s="623"/>
      <c r="AY64" s="623"/>
      <c r="AZ64" s="623"/>
      <c r="BA64" s="623"/>
      <c r="BB64" s="623"/>
      <c r="BC64" s="623"/>
      <c r="BD64" s="623"/>
      <c r="BE64" s="623"/>
      <c r="BF64" s="623"/>
      <c r="BG64" s="623"/>
      <c r="BH64" s="623"/>
      <c r="BI64" s="623"/>
      <c r="BJ64" s="623"/>
      <c r="BK64" s="623"/>
      <c r="BL64" s="623"/>
      <c r="BM64" s="623"/>
      <c r="BN64" s="623"/>
      <c r="BO64" s="623"/>
      <c r="BP64" s="623"/>
      <c r="BQ64" s="623"/>
      <c r="BR64" s="624"/>
    </row>
    <row r="65" spans="1:125" ht="6" customHeight="1">
      <c r="A65" s="345"/>
      <c r="S65" s="345"/>
      <c r="Z65" s="345"/>
      <c r="AG65" s="345"/>
      <c r="AI65" s="623"/>
      <c r="AJ65" s="623"/>
      <c r="AK65" s="623"/>
      <c r="AL65" s="623"/>
      <c r="AM65" s="623"/>
      <c r="AN65" s="623"/>
      <c r="AO65" s="623"/>
      <c r="AP65" s="623"/>
      <c r="AQ65" s="623"/>
      <c r="AR65" s="623"/>
      <c r="AS65" s="623"/>
      <c r="AT65" s="623"/>
      <c r="AU65" s="623"/>
      <c r="AV65" s="623"/>
      <c r="AW65" s="623"/>
      <c r="AX65" s="623"/>
      <c r="AY65" s="623"/>
      <c r="AZ65" s="623"/>
      <c r="BA65" s="623"/>
      <c r="BB65" s="623"/>
      <c r="BC65" s="623"/>
      <c r="BD65" s="623"/>
      <c r="BE65" s="623"/>
      <c r="BF65" s="623"/>
      <c r="BG65" s="623"/>
      <c r="BH65" s="623"/>
      <c r="BI65" s="623"/>
      <c r="BJ65" s="623"/>
      <c r="BK65" s="623"/>
      <c r="BL65" s="623"/>
      <c r="BM65" s="623"/>
      <c r="BN65" s="623"/>
      <c r="BO65" s="623"/>
      <c r="BP65" s="623"/>
      <c r="BQ65" s="623"/>
      <c r="BR65" s="624"/>
    </row>
    <row r="66" spans="1:125" ht="6" customHeight="1">
      <c r="A66" s="345"/>
      <c r="S66" s="345"/>
      <c r="Z66" s="345"/>
      <c r="AG66" s="345"/>
      <c r="AI66" s="623"/>
      <c r="AJ66" s="623"/>
      <c r="AK66" s="623"/>
      <c r="AL66" s="623"/>
      <c r="AM66" s="623"/>
      <c r="AN66" s="623"/>
      <c r="AO66" s="623"/>
      <c r="AP66" s="623"/>
      <c r="AQ66" s="623"/>
      <c r="AR66" s="623"/>
      <c r="AS66" s="623"/>
      <c r="AT66" s="623"/>
      <c r="AU66" s="623"/>
      <c r="AV66" s="623"/>
      <c r="AW66" s="623"/>
      <c r="AX66" s="623"/>
      <c r="AY66" s="623"/>
      <c r="AZ66" s="623"/>
      <c r="BA66" s="623"/>
      <c r="BB66" s="623"/>
      <c r="BC66" s="623"/>
      <c r="BD66" s="623"/>
      <c r="BE66" s="623"/>
      <c r="BF66" s="623"/>
      <c r="BG66" s="623"/>
      <c r="BH66" s="623"/>
      <c r="BI66" s="623"/>
      <c r="BJ66" s="623"/>
      <c r="BK66" s="623"/>
      <c r="BL66" s="623"/>
      <c r="BM66" s="623"/>
      <c r="BN66" s="623"/>
      <c r="BO66" s="623"/>
      <c r="BP66" s="623"/>
      <c r="BQ66" s="623"/>
      <c r="BR66" s="624"/>
    </row>
    <row r="67" spans="1:125" ht="6" customHeight="1">
      <c r="A67" s="345"/>
      <c r="S67" s="345"/>
      <c r="Z67" s="345"/>
      <c r="AG67" s="345"/>
      <c r="AI67" s="623"/>
      <c r="AJ67" s="623"/>
      <c r="AK67" s="623"/>
      <c r="AL67" s="623"/>
      <c r="AM67" s="623"/>
      <c r="AN67" s="623"/>
      <c r="AO67" s="623"/>
      <c r="AP67" s="623"/>
      <c r="AQ67" s="623"/>
      <c r="AR67" s="623"/>
      <c r="AS67" s="623"/>
      <c r="AT67" s="623"/>
      <c r="AU67" s="623"/>
      <c r="AV67" s="623"/>
      <c r="AW67" s="623"/>
      <c r="AX67" s="623"/>
      <c r="AY67" s="623"/>
      <c r="AZ67" s="623"/>
      <c r="BA67" s="623"/>
      <c r="BB67" s="623"/>
      <c r="BC67" s="623"/>
      <c r="BD67" s="623"/>
      <c r="BE67" s="623"/>
      <c r="BF67" s="623"/>
      <c r="BG67" s="623"/>
      <c r="BH67" s="623"/>
      <c r="BI67" s="623"/>
      <c r="BJ67" s="623"/>
      <c r="BK67" s="623"/>
      <c r="BL67" s="623"/>
      <c r="BM67" s="623"/>
      <c r="BN67" s="623"/>
      <c r="BO67" s="623"/>
      <c r="BP67" s="623"/>
      <c r="BQ67" s="623"/>
      <c r="BR67" s="624"/>
    </row>
    <row r="68" spans="1:125" ht="6" customHeight="1">
      <c r="B68" s="355"/>
      <c r="O68" s="347"/>
      <c r="P68" s="367"/>
      <c r="Q68" s="367"/>
      <c r="R68" s="347"/>
      <c r="S68" s="345"/>
      <c r="Z68" s="345"/>
      <c r="AG68" s="345"/>
      <c r="AI68" s="623"/>
      <c r="AJ68" s="623"/>
      <c r="AK68" s="623"/>
      <c r="AL68" s="623"/>
      <c r="AM68" s="623"/>
      <c r="AN68" s="623"/>
      <c r="AO68" s="623"/>
      <c r="AP68" s="623"/>
      <c r="AQ68" s="623"/>
      <c r="AR68" s="623"/>
      <c r="AS68" s="623"/>
      <c r="AT68" s="623"/>
      <c r="AU68" s="623"/>
      <c r="AV68" s="623"/>
      <c r="AW68" s="623"/>
      <c r="AX68" s="623"/>
      <c r="AY68" s="623"/>
      <c r="AZ68" s="623"/>
      <c r="BA68" s="623"/>
      <c r="BB68" s="623"/>
      <c r="BC68" s="623"/>
      <c r="BD68" s="623"/>
      <c r="BE68" s="623"/>
      <c r="BF68" s="623"/>
      <c r="BG68" s="623"/>
      <c r="BH68" s="623"/>
      <c r="BI68" s="623"/>
      <c r="BJ68" s="623"/>
      <c r="BK68" s="623"/>
      <c r="BL68" s="623"/>
      <c r="BM68" s="623"/>
      <c r="BN68" s="623"/>
      <c r="BO68" s="623"/>
      <c r="BP68" s="623"/>
      <c r="BQ68" s="623"/>
      <c r="BR68" s="624"/>
    </row>
    <row r="69" spans="1:125" ht="6" customHeight="1">
      <c r="B69" s="355"/>
      <c r="O69" s="347"/>
      <c r="P69" s="367"/>
      <c r="Q69" s="367"/>
      <c r="R69" s="347"/>
      <c r="S69" s="345"/>
      <c r="Z69" s="345"/>
      <c r="AG69" s="345"/>
      <c r="AI69" s="623"/>
      <c r="AJ69" s="623"/>
      <c r="AK69" s="623"/>
      <c r="AL69" s="623"/>
      <c r="AM69" s="623"/>
      <c r="AN69" s="623"/>
      <c r="AO69" s="623"/>
      <c r="AP69" s="623"/>
      <c r="AQ69" s="623"/>
      <c r="AR69" s="623"/>
      <c r="AS69" s="623"/>
      <c r="AT69" s="623"/>
      <c r="AU69" s="623"/>
      <c r="AV69" s="623"/>
      <c r="AW69" s="623"/>
      <c r="AX69" s="623"/>
      <c r="AY69" s="623"/>
      <c r="AZ69" s="623"/>
      <c r="BA69" s="623"/>
      <c r="BB69" s="623"/>
      <c r="BC69" s="623"/>
      <c r="BD69" s="623"/>
      <c r="BE69" s="623"/>
      <c r="BF69" s="623"/>
      <c r="BG69" s="623"/>
      <c r="BH69" s="623"/>
      <c r="BI69" s="623"/>
      <c r="BJ69" s="623"/>
      <c r="BK69" s="623"/>
      <c r="BL69" s="623"/>
      <c r="BM69" s="623"/>
      <c r="BN69" s="623"/>
      <c r="BO69" s="623"/>
      <c r="BP69" s="623"/>
      <c r="BQ69" s="623"/>
      <c r="BR69" s="624"/>
    </row>
    <row r="70" spans="1:125" ht="6" customHeight="1">
      <c r="B70" s="355"/>
      <c r="O70" s="347"/>
      <c r="P70" s="367"/>
      <c r="Q70" s="367"/>
      <c r="R70" s="347"/>
      <c r="S70" s="345"/>
      <c r="Z70" s="345"/>
      <c r="AG70" s="345"/>
      <c r="AI70" s="625" t="s">
        <v>2990</v>
      </c>
      <c r="AJ70" s="625"/>
      <c r="AK70" s="625"/>
      <c r="AL70" s="625"/>
      <c r="AM70" s="625"/>
      <c r="AN70" s="625"/>
      <c r="AO70" s="625"/>
      <c r="AP70" s="627"/>
      <c r="AQ70" s="628"/>
      <c r="AR70" s="628"/>
      <c r="AS70" s="628"/>
      <c r="AT70" s="628"/>
      <c r="AU70" s="625" t="s">
        <v>2989</v>
      </c>
      <c r="AV70" s="625"/>
      <c r="AW70" s="625"/>
      <c r="AX70" s="625" t="s">
        <v>2988</v>
      </c>
      <c r="AY70" s="625"/>
      <c r="AZ70" s="625"/>
      <c r="BA70" s="625"/>
      <c r="BB70" s="628"/>
      <c r="BC70" s="628"/>
      <c r="BD70" s="628"/>
      <c r="BE70" s="628"/>
      <c r="BF70" s="628"/>
      <c r="BG70" s="628"/>
      <c r="BH70" s="625" t="s">
        <v>2975</v>
      </c>
      <c r="BI70" s="625"/>
      <c r="BJ70" s="625"/>
      <c r="BK70" s="625"/>
      <c r="BL70" s="366"/>
      <c r="BM70" s="366"/>
      <c r="BN70" s="366"/>
      <c r="BO70" s="366"/>
      <c r="BP70" s="366"/>
      <c r="BQ70" s="366"/>
      <c r="BR70" s="365"/>
    </row>
    <row r="71" spans="1:125" ht="6" customHeight="1">
      <c r="B71" s="358"/>
      <c r="C71" s="341"/>
      <c r="D71" s="341"/>
      <c r="E71" s="341"/>
      <c r="F71" s="341"/>
      <c r="G71" s="341"/>
      <c r="H71" s="341"/>
      <c r="I71" s="341"/>
      <c r="J71" s="341"/>
      <c r="K71" s="341"/>
      <c r="L71" s="341"/>
      <c r="M71" s="341"/>
      <c r="N71" s="341"/>
      <c r="O71" s="343"/>
      <c r="P71" s="364"/>
      <c r="Q71" s="364"/>
      <c r="R71" s="343"/>
      <c r="S71" s="340"/>
      <c r="T71" s="341"/>
      <c r="U71" s="341"/>
      <c r="V71" s="341"/>
      <c r="W71" s="341"/>
      <c r="X71" s="341"/>
      <c r="Y71" s="341"/>
      <c r="Z71" s="340"/>
      <c r="AA71" s="341"/>
      <c r="AB71" s="341"/>
      <c r="AC71" s="341"/>
      <c r="AD71" s="341"/>
      <c r="AE71" s="341"/>
      <c r="AF71" s="341"/>
      <c r="AG71" s="340"/>
      <c r="AH71" s="341"/>
      <c r="AI71" s="626"/>
      <c r="AJ71" s="626"/>
      <c r="AK71" s="626"/>
      <c r="AL71" s="626"/>
      <c r="AM71" s="626"/>
      <c r="AN71" s="626"/>
      <c r="AO71" s="626"/>
      <c r="AP71" s="629"/>
      <c r="AQ71" s="629"/>
      <c r="AR71" s="629"/>
      <c r="AS71" s="629"/>
      <c r="AT71" s="629"/>
      <c r="AU71" s="626"/>
      <c r="AV71" s="626"/>
      <c r="AW71" s="626"/>
      <c r="AX71" s="626"/>
      <c r="AY71" s="626"/>
      <c r="AZ71" s="626"/>
      <c r="BA71" s="626"/>
      <c r="BB71" s="629"/>
      <c r="BC71" s="629"/>
      <c r="BD71" s="629"/>
      <c r="BE71" s="629"/>
      <c r="BF71" s="629"/>
      <c r="BG71" s="629"/>
      <c r="BH71" s="626"/>
      <c r="BI71" s="626"/>
      <c r="BJ71" s="626"/>
      <c r="BK71" s="626"/>
      <c r="BL71" s="363"/>
      <c r="BM71" s="363"/>
      <c r="BN71" s="363"/>
      <c r="BO71" s="363"/>
      <c r="BP71" s="363"/>
      <c r="BQ71" s="363"/>
      <c r="BR71" s="362"/>
    </row>
    <row r="72" spans="1:125" ht="6" customHeight="1">
      <c r="B72" s="348"/>
      <c r="S72" s="345"/>
      <c r="BR72" s="345"/>
    </row>
    <row r="73" spans="1:125" ht="6" customHeight="1">
      <c r="B73" s="645">
        <v>7</v>
      </c>
      <c r="C73" s="640"/>
      <c r="E73" s="661" t="s">
        <v>2987</v>
      </c>
      <c r="F73" s="661"/>
      <c r="G73" s="661"/>
      <c r="H73" s="661"/>
      <c r="I73" s="661"/>
      <c r="J73" s="661"/>
      <c r="K73" s="661"/>
      <c r="L73" s="661"/>
      <c r="M73" s="661"/>
      <c r="N73" s="661"/>
      <c r="O73" s="661"/>
      <c r="P73" s="661"/>
      <c r="Q73" s="661"/>
      <c r="R73" s="661"/>
      <c r="S73" s="662"/>
      <c r="Z73" s="663"/>
      <c r="AA73" s="663"/>
      <c r="AB73" s="655" t="s">
        <v>2986</v>
      </c>
      <c r="AC73" s="655"/>
      <c r="AD73" s="655"/>
      <c r="AE73" s="655"/>
      <c r="AF73" s="655"/>
      <c r="AG73" s="655"/>
      <c r="AH73" s="655"/>
      <c r="AI73" s="655"/>
      <c r="AJ73" s="655"/>
      <c r="AK73" s="640" t="s">
        <v>2985</v>
      </c>
      <c r="AL73" s="640"/>
      <c r="AN73" s="663" t="s">
        <v>3015</v>
      </c>
      <c r="AO73" s="663"/>
      <c r="AP73" s="655" t="s">
        <v>2984</v>
      </c>
      <c r="AQ73" s="655"/>
      <c r="AR73" s="655"/>
      <c r="AS73" s="655"/>
      <c r="AT73" s="655"/>
      <c r="AU73" s="655"/>
      <c r="AV73" s="655"/>
      <c r="AW73" s="655"/>
      <c r="AX73" s="655"/>
      <c r="BR73" s="345"/>
      <c r="CA73" s="352"/>
      <c r="CB73" s="352"/>
      <c r="CC73" s="352"/>
      <c r="CD73" s="352"/>
      <c r="CE73" s="352"/>
      <c r="CF73" s="352"/>
      <c r="CG73" s="352"/>
      <c r="CH73" s="352"/>
      <c r="CI73" s="352"/>
      <c r="CJ73" s="352"/>
      <c r="CK73" s="352"/>
      <c r="CL73" s="352"/>
      <c r="CM73" s="352"/>
      <c r="CN73" s="352"/>
      <c r="CO73" s="352"/>
      <c r="CP73" s="352"/>
      <c r="CQ73" s="352"/>
      <c r="CR73" s="352"/>
      <c r="CS73" s="352"/>
      <c r="CT73" s="352"/>
      <c r="CU73" s="352"/>
      <c r="CV73" s="352"/>
      <c r="CW73" s="352"/>
      <c r="CX73" s="352"/>
      <c r="CY73" s="352"/>
      <c r="CZ73" s="352"/>
      <c r="DA73" s="352"/>
      <c r="DB73" s="352"/>
      <c r="DC73" s="352"/>
      <c r="DD73" s="352"/>
      <c r="DE73" s="352"/>
      <c r="DF73" s="352"/>
      <c r="DG73" s="352"/>
      <c r="DH73" s="352"/>
    </row>
    <row r="74" spans="1:125" ht="6" customHeight="1">
      <c r="B74" s="645"/>
      <c r="C74" s="640"/>
      <c r="E74" s="661"/>
      <c r="F74" s="661"/>
      <c r="G74" s="661"/>
      <c r="H74" s="661"/>
      <c r="I74" s="661"/>
      <c r="J74" s="661"/>
      <c r="K74" s="661"/>
      <c r="L74" s="661"/>
      <c r="M74" s="661"/>
      <c r="N74" s="661"/>
      <c r="O74" s="661"/>
      <c r="P74" s="661"/>
      <c r="Q74" s="661"/>
      <c r="R74" s="661"/>
      <c r="S74" s="662"/>
      <c r="Z74" s="663"/>
      <c r="AA74" s="663"/>
      <c r="AB74" s="655"/>
      <c r="AC74" s="655"/>
      <c r="AD74" s="655"/>
      <c r="AE74" s="655"/>
      <c r="AF74" s="655"/>
      <c r="AG74" s="655"/>
      <c r="AH74" s="655"/>
      <c r="AI74" s="655"/>
      <c r="AJ74" s="655"/>
      <c r="AK74" s="640"/>
      <c r="AL74" s="640"/>
      <c r="AN74" s="663"/>
      <c r="AO74" s="663"/>
      <c r="AP74" s="655"/>
      <c r="AQ74" s="655"/>
      <c r="AR74" s="655"/>
      <c r="AS74" s="655"/>
      <c r="AT74" s="655"/>
      <c r="AU74" s="655"/>
      <c r="AV74" s="655"/>
      <c r="AW74" s="655"/>
      <c r="AX74" s="655"/>
      <c r="BR74" s="345"/>
      <c r="CA74" s="352"/>
      <c r="CB74" s="352"/>
      <c r="CC74" s="352"/>
      <c r="CD74" s="352"/>
      <c r="CE74" s="352"/>
      <c r="CF74" s="352"/>
      <c r="CG74" s="352"/>
      <c r="CH74" s="352"/>
      <c r="CI74" s="352"/>
      <c r="CJ74" s="352"/>
      <c r="CK74" s="352"/>
      <c r="CL74" s="352"/>
      <c r="CM74" s="352"/>
      <c r="CN74" s="352"/>
      <c r="CO74" s="352"/>
      <c r="CP74" s="352"/>
      <c r="CQ74" s="352"/>
      <c r="CR74" s="352"/>
      <c r="CS74" s="352"/>
      <c r="CT74" s="352"/>
      <c r="CU74" s="352"/>
      <c r="CV74" s="352"/>
      <c r="CW74" s="352"/>
      <c r="CX74" s="352"/>
      <c r="CY74" s="352"/>
      <c r="CZ74" s="352"/>
      <c r="DA74" s="352"/>
      <c r="DB74" s="352"/>
      <c r="DC74" s="352"/>
      <c r="DD74" s="352"/>
      <c r="DE74" s="352"/>
      <c r="DF74" s="352"/>
      <c r="DG74" s="352"/>
      <c r="DH74" s="352"/>
    </row>
    <row r="75" spans="1:125" ht="6" customHeight="1">
      <c r="B75" s="344"/>
      <c r="C75" s="341"/>
      <c r="D75" s="341"/>
      <c r="E75" s="341"/>
      <c r="F75" s="341"/>
      <c r="G75" s="341"/>
      <c r="H75" s="341"/>
      <c r="I75" s="341"/>
      <c r="J75" s="341"/>
      <c r="K75" s="341"/>
      <c r="L75" s="341"/>
      <c r="M75" s="341"/>
      <c r="N75" s="341"/>
      <c r="O75" s="341"/>
      <c r="P75" s="341"/>
      <c r="Q75" s="341"/>
      <c r="R75" s="341"/>
      <c r="S75" s="340"/>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c r="BP75" s="341"/>
      <c r="BQ75" s="341"/>
      <c r="BR75" s="340"/>
    </row>
    <row r="76" spans="1:125" ht="6" customHeight="1">
      <c r="B76" s="355">
        <v>8</v>
      </c>
      <c r="S76" s="345"/>
      <c r="BR76" s="345"/>
    </row>
    <row r="77" spans="1:125" ht="6" customHeight="1">
      <c r="B77" s="355"/>
      <c r="I77" s="354">
        <v>-1</v>
      </c>
      <c r="J77" s="354"/>
      <c r="S77" s="345"/>
      <c r="T77" s="664" t="s">
        <v>3015</v>
      </c>
      <c r="U77" s="663"/>
      <c r="V77" s="616" t="s">
        <v>53</v>
      </c>
      <c r="W77" s="616"/>
      <c r="X77" s="616"/>
      <c r="Y77" s="630" t="s">
        <v>2982</v>
      </c>
      <c r="Z77" s="630"/>
      <c r="AA77" s="630"/>
      <c r="AB77" s="630"/>
      <c r="AC77" s="630"/>
      <c r="AD77" s="630"/>
      <c r="AE77" s="630"/>
      <c r="AF77" s="630"/>
      <c r="AG77" s="630"/>
      <c r="AH77" s="630"/>
      <c r="AI77" s="630"/>
      <c r="AJ77" s="352"/>
      <c r="AK77" s="352"/>
      <c r="AL77" s="630" t="s">
        <v>2981</v>
      </c>
      <c r="AM77" s="630"/>
      <c r="AN77" s="630"/>
      <c r="AO77" s="630"/>
      <c r="AP77" s="634"/>
      <c r="AQ77" s="634"/>
      <c r="AR77" s="634"/>
      <c r="AS77" s="634"/>
      <c r="AT77" s="634"/>
      <c r="AU77" s="634"/>
      <c r="AV77" s="634"/>
      <c r="AW77" s="634"/>
      <c r="AX77" s="634"/>
      <c r="AY77" s="634"/>
      <c r="AZ77" s="634"/>
      <c r="BA77" s="634"/>
      <c r="BB77" s="634"/>
      <c r="BC77" s="634"/>
      <c r="BD77" s="634"/>
      <c r="BE77" s="634"/>
      <c r="BF77" s="634"/>
      <c r="BG77" s="634"/>
      <c r="BH77" s="634"/>
      <c r="BI77" s="634"/>
      <c r="BJ77" s="634"/>
      <c r="BK77" s="634"/>
      <c r="BL77" s="634"/>
      <c r="BM77" s="634"/>
      <c r="BN77" s="634"/>
      <c r="BO77" s="634"/>
      <c r="BP77" s="634"/>
      <c r="BQ77" s="352"/>
      <c r="BR77" s="361"/>
      <c r="CB77" s="352"/>
      <c r="CC77" s="352"/>
      <c r="CD77" s="352"/>
      <c r="CE77" s="352"/>
      <c r="CF77" s="352"/>
      <c r="CG77" s="352"/>
      <c r="CH77" s="352"/>
      <c r="CI77" s="352"/>
      <c r="CJ77" s="352"/>
      <c r="CK77" s="352"/>
      <c r="CL77" s="352"/>
      <c r="CM77" s="352"/>
      <c r="CN77" s="352"/>
      <c r="CO77" s="352"/>
      <c r="CP77" s="352"/>
      <c r="CQ77" s="352"/>
      <c r="CR77" s="352"/>
      <c r="CS77" s="352"/>
      <c r="CT77" s="352"/>
      <c r="CU77" s="352"/>
      <c r="CV77" s="352"/>
      <c r="CW77" s="352"/>
      <c r="CX77" s="352"/>
      <c r="CY77" s="352"/>
      <c r="CZ77" s="352"/>
      <c r="DB77" s="352"/>
      <c r="DC77" s="352"/>
      <c r="DD77" s="352"/>
      <c r="DE77" s="352"/>
      <c r="DF77" s="352"/>
      <c r="DG77" s="352"/>
      <c r="DH77" s="352"/>
      <c r="DI77" s="352"/>
      <c r="DJ77" s="352"/>
      <c r="DK77" s="352"/>
      <c r="DL77" s="352"/>
      <c r="DM77" s="352"/>
      <c r="DN77" s="352"/>
      <c r="DO77" s="352"/>
      <c r="DP77" s="352"/>
      <c r="DQ77" s="352"/>
      <c r="DR77" s="352"/>
      <c r="DS77" s="352"/>
      <c r="DT77" s="352"/>
      <c r="DU77" s="352"/>
    </row>
    <row r="78" spans="1:125" ht="6" customHeight="1">
      <c r="B78" s="645">
        <v>8</v>
      </c>
      <c r="C78" s="640"/>
      <c r="E78" s="638" t="s">
        <v>2980</v>
      </c>
      <c r="F78" s="638"/>
      <c r="G78" s="638"/>
      <c r="H78" s="638"/>
      <c r="I78" s="638"/>
      <c r="J78" s="638"/>
      <c r="K78" s="638"/>
      <c r="L78" s="638"/>
      <c r="M78" s="638"/>
      <c r="N78" s="638"/>
      <c r="O78" s="638"/>
      <c r="P78" s="638"/>
      <c r="Q78" s="638"/>
      <c r="R78" s="638"/>
      <c r="S78" s="345"/>
      <c r="T78" s="664"/>
      <c r="U78" s="663"/>
      <c r="V78" s="616"/>
      <c r="W78" s="616"/>
      <c r="X78" s="616"/>
      <c r="Y78" s="630"/>
      <c r="Z78" s="630"/>
      <c r="AA78" s="630"/>
      <c r="AB78" s="630"/>
      <c r="AC78" s="630"/>
      <c r="AD78" s="630"/>
      <c r="AE78" s="630"/>
      <c r="AF78" s="630"/>
      <c r="AG78" s="630"/>
      <c r="AH78" s="630"/>
      <c r="AI78" s="630"/>
      <c r="AJ78" s="352"/>
      <c r="AK78" s="352"/>
      <c r="AL78" s="630"/>
      <c r="AM78" s="630"/>
      <c r="AN78" s="630"/>
      <c r="AO78" s="630"/>
      <c r="AP78" s="634"/>
      <c r="AQ78" s="634"/>
      <c r="AR78" s="634"/>
      <c r="AS78" s="634"/>
      <c r="AT78" s="634"/>
      <c r="AU78" s="634"/>
      <c r="AV78" s="634"/>
      <c r="AW78" s="634"/>
      <c r="AX78" s="634"/>
      <c r="AY78" s="634"/>
      <c r="AZ78" s="634"/>
      <c r="BA78" s="634"/>
      <c r="BB78" s="634"/>
      <c r="BC78" s="634"/>
      <c r="BD78" s="634"/>
      <c r="BE78" s="634"/>
      <c r="BF78" s="634"/>
      <c r="BG78" s="634"/>
      <c r="BH78" s="634"/>
      <c r="BI78" s="634"/>
      <c r="BJ78" s="634"/>
      <c r="BK78" s="634"/>
      <c r="BL78" s="634"/>
      <c r="BM78" s="634"/>
      <c r="BN78" s="634"/>
      <c r="BO78" s="634"/>
      <c r="BP78" s="634"/>
      <c r="BQ78" s="352"/>
      <c r="BR78" s="361"/>
      <c r="CB78" s="352"/>
      <c r="CC78" s="352"/>
      <c r="CD78" s="352"/>
      <c r="CE78" s="352"/>
      <c r="CF78" s="352"/>
      <c r="CG78" s="352"/>
      <c r="CH78" s="352"/>
      <c r="CI78" s="352"/>
      <c r="CJ78" s="352"/>
      <c r="CK78" s="352"/>
      <c r="CL78" s="352"/>
      <c r="CM78" s="352"/>
      <c r="CN78" s="352"/>
      <c r="CO78" s="352"/>
      <c r="CP78" s="352"/>
      <c r="CQ78" s="352"/>
      <c r="CR78" s="352"/>
      <c r="CS78" s="352"/>
      <c r="CT78" s="352"/>
      <c r="CU78" s="352"/>
      <c r="CV78" s="352"/>
      <c r="CW78" s="352"/>
      <c r="CX78" s="352"/>
      <c r="CY78" s="352"/>
      <c r="CZ78" s="352"/>
      <c r="DB78" s="352"/>
      <c r="DC78" s="352"/>
      <c r="DD78" s="352"/>
      <c r="DE78" s="352"/>
      <c r="DF78" s="352"/>
      <c r="DG78" s="352"/>
      <c r="DH78" s="352"/>
      <c r="DI78" s="352"/>
      <c r="DJ78" s="352"/>
      <c r="DK78" s="352"/>
      <c r="DL78" s="352"/>
      <c r="DM78" s="352"/>
      <c r="DN78" s="352"/>
      <c r="DO78" s="352"/>
      <c r="DP78" s="352"/>
      <c r="DQ78" s="352"/>
      <c r="DR78" s="352"/>
      <c r="DS78" s="352"/>
      <c r="DT78" s="352"/>
      <c r="DU78" s="352"/>
    </row>
    <row r="79" spans="1:125" ht="6" customHeight="1">
      <c r="B79" s="645"/>
      <c r="C79" s="640"/>
      <c r="E79" s="638"/>
      <c r="F79" s="638"/>
      <c r="G79" s="638"/>
      <c r="H79" s="638"/>
      <c r="I79" s="638"/>
      <c r="J79" s="638"/>
      <c r="K79" s="638"/>
      <c r="L79" s="638"/>
      <c r="M79" s="638"/>
      <c r="N79" s="638"/>
      <c r="O79" s="638"/>
      <c r="P79" s="638"/>
      <c r="Q79" s="638"/>
      <c r="R79" s="638"/>
      <c r="S79" s="345"/>
      <c r="AQ79" s="347"/>
      <c r="AR79" s="347"/>
      <c r="AS79" s="347"/>
      <c r="AT79" s="347"/>
      <c r="AU79" s="347"/>
      <c r="AV79" s="347"/>
      <c r="AW79" s="347"/>
      <c r="BE79" s="347"/>
      <c r="BF79" s="347"/>
      <c r="BR79" s="345"/>
      <c r="CT79" s="347"/>
      <c r="CU79" s="347"/>
      <c r="CV79" s="347"/>
      <c r="CW79" s="347"/>
      <c r="CX79" s="347"/>
      <c r="CY79" s="347"/>
      <c r="CZ79" s="347"/>
      <c r="DI79" s="347"/>
      <c r="DJ79" s="347"/>
    </row>
    <row r="80" spans="1:125" ht="6" customHeight="1">
      <c r="B80" s="645"/>
      <c r="C80" s="640"/>
      <c r="E80" s="638"/>
      <c r="F80" s="638"/>
      <c r="G80" s="638"/>
      <c r="H80" s="638"/>
      <c r="I80" s="638"/>
      <c r="J80" s="638"/>
      <c r="K80" s="638"/>
      <c r="L80" s="638"/>
      <c r="M80" s="638"/>
      <c r="N80" s="638"/>
      <c r="O80" s="638"/>
      <c r="P80" s="638"/>
      <c r="Q80" s="638"/>
      <c r="R80" s="638"/>
      <c r="S80" s="345"/>
      <c r="T80" s="664"/>
      <c r="U80" s="663"/>
      <c r="V80" s="616" t="s">
        <v>55</v>
      </c>
      <c r="W80" s="616"/>
      <c r="X80" s="616"/>
      <c r="Y80" s="643" t="s">
        <v>2</v>
      </c>
      <c r="Z80" s="643"/>
      <c r="AA80" s="643"/>
      <c r="AB80" s="643"/>
      <c r="AC80" s="643"/>
      <c r="AD80" s="643"/>
      <c r="AE80" s="643"/>
      <c r="AF80" s="643"/>
      <c r="AL80" s="630" t="s">
        <v>2979</v>
      </c>
      <c r="AM80" s="630"/>
      <c r="AN80" s="630"/>
      <c r="AO80" s="630"/>
      <c r="AP80" s="630"/>
      <c r="AQ80" s="630"/>
      <c r="AR80" s="630"/>
      <c r="AS80" s="630"/>
      <c r="AT80" s="620" t="s">
        <v>2978</v>
      </c>
      <c r="AU80" s="620"/>
      <c r="AV80" s="634"/>
      <c r="AW80" s="634"/>
      <c r="AX80" s="634"/>
      <c r="AY80" s="634"/>
      <c r="AZ80" s="634"/>
      <c r="BA80" s="634"/>
      <c r="BB80" s="634"/>
      <c r="BC80" s="634"/>
      <c r="BD80" s="634"/>
      <c r="BE80" s="634"/>
      <c r="BF80" s="634"/>
      <c r="BG80" s="634"/>
      <c r="BH80" s="634"/>
      <c r="BI80" s="634"/>
      <c r="BJ80" s="634"/>
      <c r="BK80" s="634"/>
      <c r="BL80" s="634"/>
      <c r="BM80" s="634"/>
      <c r="BN80" s="634"/>
      <c r="BO80" s="634"/>
      <c r="BP80" s="634"/>
      <c r="BQ80" s="352"/>
      <c r="BR80" s="345"/>
      <c r="CB80" s="352"/>
      <c r="CC80" s="352"/>
      <c r="CD80" s="352"/>
      <c r="CE80" s="352"/>
      <c r="CF80" s="352"/>
      <c r="CG80" s="352"/>
      <c r="CH80" s="352"/>
      <c r="CI80" s="352"/>
      <c r="DB80" s="352"/>
      <c r="DC80" s="352"/>
      <c r="DD80" s="352"/>
      <c r="DE80" s="352"/>
      <c r="DF80" s="352"/>
      <c r="DG80" s="352"/>
      <c r="DH80" s="352"/>
      <c r="DI80" s="352"/>
      <c r="DJ80" s="352"/>
      <c r="DK80" s="352"/>
      <c r="DL80" s="352"/>
      <c r="DM80" s="352"/>
      <c r="DN80" s="352"/>
      <c r="DO80" s="352"/>
      <c r="DP80" s="352"/>
      <c r="DQ80" s="352"/>
      <c r="DR80" s="352"/>
      <c r="DS80" s="352"/>
      <c r="DT80" s="352"/>
      <c r="DU80" s="352"/>
    </row>
    <row r="81" spans="2:125" ht="6" customHeight="1">
      <c r="B81" s="355"/>
      <c r="I81" s="354"/>
      <c r="J81" s="354"/>
      <c r="K81" s="349"/>
      <c r="L81" s="349"/>
      <c r="M81" s="349"/>
      <c r="S81" s="345"/>
      <c r="T81" s="664"/>
      <c r="U81" s="663"/>
      <c r="V81" s="616"/>
      <c r="W81" s="616"/>
      <c r="X81" s="616"/>
      <c r="Y81" s="643"/>
      <c r="Z81" s="643"/>
      <c r="AA81" s="643"/>
      <c r="AB81" s="643"/>
      <c r="AC81" s="643"/>
      <c r="AD81" s="643"/>
      <c r="AE81" s="643"/>
      <c r="AF81" s="643"/>
      <c r="AL81" s="630"/>
      <c r="AM81" s="630"/>
      <c r="AN81" s="630"/>
      <c r="AO81" s="630"/>
      <c r="AP81" s="630"/>
      <c r="AQ81" s="630"/>
      <c r="AR81" s="630"/>
      <c r="AS81" s="630"/>
      <c r="AT81" s="620"/>
      <c r="AU81" s="620"/>
      <c r="AV81" s="634"/>
      <c r="AW81" s="634"/>
      <c r="AX81" s="634"/>
      <c r="AY81" s="634"/>
      <c r="AZ81" s="634"/>
      <c r="BA81" s="634"/>
      <c r="BB81" s="634"/>
      <c r="BC81" s="634"/>
      <c r="BD81" s="634"/>
      <c r="BE81" s="634"/>
      <c r="BF81" s="634"/>
      <c r="BG81" s="634"/>
      <c r="BH81" s="634"/>
      <c r="BI81" s="634"/>
      <c r="BJ81" s="634"/>
      <c r="BK81" s="634"/>
      <c r="BL81" s="634"/>
      <c r="BM81" s="634"/>
      <c r="BN81" s="634"/>
      <c r="BO81" s="634"/>
      <c r="BP81" s="634"/>
      <c r="BQ81" s="352"/>
      <c r="BR81" s="345"/>
      <c r="CB81" s="352"/>
      <c r="CC81" s="352"/>
      <c r="CD81" s="352"/>
      <c r="CE81" s="352"/>
      <c r="CF81" s="352"/>
      <c r="CG81" s="352"/>
      <c r="CH81" s="352"/>
      <c r="CI81" s="352"/>
      <c r="DB81" s="352"/>
      <c r="DC81" s="352"/>
      <c r="DD81" s="352"/>
      <c r="DE81" s="352"/>
      <c r="DF81" s="352"/>
      <c r="DG81" s="352"/>
      <c r="DH81" s="352"/>
      <c r="DI81" s="352"/>
      <c r="DJ81" s="352"/>
      <c r="DK81" s="352"/>
      <c r="DL81" s="352"/>
      <c r="DM81" s="352"/>
      <c r="DN81" s="352"/>
      <c r="DO81" s="352"/>
      <c r="DP81" s="352"/>
      <c r="DQ81" s="352"/>
      <c r="DR81" s="352"/>
      <c r="DS81" s="352"/>
      <c r="DT81" s="352"/>
      <c r="DU81" s="352"/>
    </row>
    <row r="82" spans="2:125" ht="6" customHeight="1">
      <c r="B82" s="355"/>
      <c r="I82" s="354"/>
      <c r="J82" s="354"/>
      <c r="K82" s="349"/>
      <c r="L82" s="349"/>
      <c r="M82" s="349"/>
      <c r="S82" s="345"/>
      <c r="V82" s="360"/>
      <c r="W82" s="360"/>
      <c r="X82" s="360"/>
      <c r="Y82" s="352"/>
      <c r="Z82" s="352"/>
      <c r="AA82" s="352"/>
      <c r="AB82" s="352"/>
      <c r="AC82" s="352"/>
      <c r="AD82" s="352"/>
      <c r="AE82" s="352"/>
      <c r="AF82" s="352"/>
      <c r="AL82" s="360"/>
      <c r="AM82" s="360"/>
      <c r="AN82" s="360"/>
      <c r="AO82" s="360"/>
      <c r="AP82" s="360"/>
      <c r="AQ82" s="360"/>
      <c r="AR82" s="360"/>
      <c r="AS82" s="360"/>
      <c r="AT82" s="360"/>
      <c r="AU82" s="360"/>
      <c r="AV82" s="360"/>
      <c r="AW82" s="360"/>
      <c r="AX82" s="360"/>
      <c r="AY82" s="360"/>
      <c r="AZ82" s="360"/>
      <c r="BA82" s="360"/>
      <c r="BB82" s="360"/>
      <c r="BC82" s="360"/>
      <c r="BD82" s="360"/>
      <c r="BE82" s="360"/>
      <c r="BF82" s="352"/>
      <c r="BG82" s="352"/>
      <c r="BH82" s="352"/>
      <c r="BI82" s="352"/>
      <c r="BJ82" s="352"/>
      <c r="BK82" s="352"/>
      <c r="BL82" s="352"/>
      <c r="BM82" s="352"/>
      <c r="BN82" s="352"/>
      <c r="BO82" s="352"/>
      <c r="BP82" s="352"/>
      <c r="BQ82" s="352"/>
      <c r="BR82" s="345"/>
      <c r="CB82" s="352"/>
      <c r="CC82" s="352"/>
      <c r="CD82" s="352"/>
      <c r="CE82" s="352"/>
      <c r="CF82" s="352"/>
      <c r="CG82" s="352"/>
      <c r="CH82" s="352"/>
      <c r="CI82" s="352"/>
      <c r="DB82" s="359"/>
      <c r="DC82" s="359"/>
      <c r="DD82" s="359"/>
      <c r="DE82" s="359"/>
      <c r="DF82" s="359"/>
      <c r="DG82" s="359"/>
      <c r="DH82" s="359"/>
      <c r="DI82" s="359"/>
      <c r="DJ82" s="359"/>
      <c r="DK82" s="359"/>
      <c r="DL82" s="359"/>
      <c r="DM82" s="359"/>
      <c r="DN82" s="359"/>
      <c r="DO82" s="359"/>
      <c r="DP82" s="359"/>
      <c r="DQ82" s="359"/>
      <c r="DR82" s="359"/>
      <c r="DS82" s="359"/>
      <c r="DT82" s="359"/>
      <c r="DU82" s="359"/>
    </row>
    <row r="83" spans="2:125" ht="6" customHeight="1">
      <c r="B83" s="355"/>
      <c r="I83" s="354"/>
      <c r="J83" s="354"/>
      <c r="K83" s="349"/>
      <c r="L83" s="349"/>
      <c r="M83" s="349"/>
      <c r="S83" s="345"/>
      <c r="V83" s="360"/>
      <c r="W83" s="360"/>
      <c r="X83" s="360"/>
      <c r="Y83" s="352"/>
      <c r="Z83" s="352"/>
      <c r="AA83" s="352"/>
      <c r="AB83" s="352"/>
      <c r="AC83" s="352"/>
      <c r="AD83" s="352"/>
      <c r="AE83" s="352"/>
      <c r="AF83" s="352"/>
      <c r="AL83" s="630" t="s">
        <v>2977</v>
      </c>
      <c r="AM83" s="630"/>
      <c r="AN83" s="630"/>
      <c r="AO83" s="630"/>
      <c r="AP83" s="630"/>
      <c r="AQ83" s="630"/>
      <c r="AR83" s="630"/>
      <c r="AS83" s="630"/>
      <c r="AT83" s="352"/>
      <c r="AU83" s="352"/>
      <c r="AV83" s="634"/>
      <c r="AW83" s="634"/>
      <c r="AX83" s="634"/>
      <c r="AY83" s="634"/>
      <c r="AZ83" s="634"/>
      <c r="BA83" s="634"/>
      <c r="BB83" s="634"/>
      <c r="BC83" s="634"/>
      <c r="BD83" s="634"/>
      <c r="BE83" s="634"/>
      <c r="BF83" s="634"/>
      <c r="BG83" s="634"/>
      <c r="BH83" s="634"/>
      <c r="BI83" s="634"/>
      <c r="BJ83" s="634"/>
      <c r="BK83" s="634"/>
      <c r="BL83" s="634"/>
      <c r="BM83" s="634"/>
      <c r="BN83" s="634"/>
      <c r="BO83" s="634"/>
      <c r="BP83" s="634"/>
      <c r="BQ83" s="352"/>
      <c r="BR83" s="345"/>
      <c r="CB83" s="352"/>
      <c r="CC83" s="352"/>
      <c r="CD83" s="352"/>
      <c r="CE83" s="352"/>
      <c r="CF83" s="352"/>
      <c r="CG83" s="352"/>
      <c r="CH83" s="352"/>
      <c r="CI83" s="352"/>
      <c r="DB83" s="359"/>
      <c r="DC83" s="359"/>
      <c r="DD83" s="359"/>
      <c r="DE83" s="359"/>
      <c r="DF83" s="359"/>
      <c r="DG83" s="359"/>
      <c r="DH83" s="359"/>
      <c r="DI83" s="359"/>
      <c r="DJ83" s="359"/>
      <c r="DK83" s="359"/>
      <c r="DL83" s="359"/>
      <c r="DM83" s="359"/>
      <c r="DN83" s="359"/>
      <c r="DO83" s="359"/>
      <c r="DP83" s="359"/>
      <c r="DQ83" s="359"/>
      <c r="DR83" s="359"/>
      <c r="DS83" s="359"/>
      <c r="DT83" s="359"/>
      <c r="DU83" s="359"/>
    </row>
    <row r="84" spans="2:125" ht="6" customHeight="1">
      <c r="B84" s="355"/>
      <c r="I84" s="354"/>
      <c r="J84" s="354"/>
      <c r="K84" s="349"/>
      <c r="L84" s="349"/>
      <c r="M84" s="349"/>
      <c r="S84" s="345"/>
      <c r="V84" s="360"/>
      <c r="W84" s="360"/>
      <c r="X84" s="360"/>
      <c r="Y84" s="352"/>
      <c r="Z84" s="352"/>
      <c r="AA84" s="352"/>
      <c r="AB84" s="352"/>
      <c r="AC84" s="352"/>
      <c r="AD84" s="352"/>
      <c r="AE84" s="352"/>
      <c r="AF84" s="352"/>
      <c r="AL84" s="630"/>
      <c r="AM84" s="630"/>
      <c r="AN84" s="630"/>
      <c r="AO84" s="630"/>
      <c r="AP84" s="630"/>
      <c r="AQ84" s="630"/>
      <c r="AR84" s="630"/>
      <c r="AS84" s="630"/>
      <c r="AT84" s="352"/>
      <c r="AU84" s="352"/>
      <c r="AV84" s="634"/>
      <c r="AW84" s="634"/>
      <c r="AX84" s="634"/>
      <c r="AY84" s="634"/>
      <c r="AZ84" s="634"/>
      <c r="BA84" s="634"/>
      <c r="BB84" s="634"/>
      <c r="BC84" s="634"/>
      <c r="BD84" s="634"/>
      <c r="BE84" s="634"/>
      <c r="BF84" s="634"/>
      <c r="BG84" s="634"/>
      <c r="BH84" s="634"/>
      <c r="BI84" s="634"/>
      <c r="BJ84" s="634"/>
      <c r="BK84" s="634"/>
      <c r="BL84" s="634"/>
      <c r="BM84" s="634"/>
      <c r="BN84" s="634"/>
      <c r="BO84" s="634"/>
      <c r="BP84" s="634"/>
      <c r="BQ84" s="352"/>
      <c r="BR84" s="345"/>
      <c r="CB84" s="352"/>
      <c r="CC84" s="352"/>
      <c r="CD84" s="352"/>
      <c r="CE84" s="352"/>
      <c r="CF84" s="352"/>
      <c r="CG84" s="352"/>
      <c r="CH84" s="352"/>
      <c r="CI84" s="352"/>
      <c r="DB84" s="359"/>
      <c r="DC84" s="359"/>
      <c r="DD84" s="359"/>
      <c r="DE84" s="359"/>
      <c r="DF84" s="359"/>
      <c r="DG84" s="359"/>
      <c r="DH84" s="359"/>
      <c r="DI84" s="359"/>
      <c r="DJ84" s="359"/>
      <c r="DK84" s="359"/>
      <c r="DL84" s="359"/>
      <c r="DM84" s="359"/>
      <c r="DN84" s="359"/>
      <c r="DO84" s="359"/>
      <c r="DP84" s="359"/>
      <c r="DQ84" s="359"/>
      <c r="DR84" s="359"/>
      <c r="DS84" s="359"/>
      <c r="DT84" s="359"/>
      <c r="DU84" s="359"/>
    </row>
    <row r="85" spans="2:125" ht="6" customHeight="1">
      <c r="B85" s="358"/>
      <c r="C85" s="341"/>
      <c r="D85" s="341"/>
      <c r="E85" s="341"/>
      <c r="F85" s="341"/>
      <c r="G85" s="341"/>
      <c r="H85" s="341"/>
      <c r="I85" s="357"/>
      <c r="J85" s="357"/>
      <c r="K85" s="356"/>
      <c r="L85" s="356"/>
      <c r="M85" s="356"/>
      <c r="N85" s="341"/>
      <c r="O85" s="341"/>
      <c r="P85" s="341"/>
      <c r="Q85" s="341"/>
      <c r="R85" s="341"/>
      <c r="S85" s="340"/>
      <c r="T85" s="341"/>
      <c r="U85" s="341"/>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1"/>
      <c r="AZ85" s="341"/>
      <c r="BA85" s="341"/>
      <c r="BB85" s="341"/>
      <c r="BC85" s="341"/>
      <c r="BD85" s="341"/>
      <c r="BE85" s="341"/>
      <c r="BF85" s="341"/>
      <c r="BG85" s="341"/>
      <c r="BH85" s="341"/>
      <c r="BI85" s="341"/>
      <c r="BJ85" s="341"/>
      <c r="BK85" s="341"/>
      <c r="BL85" s="341"/>
      <c r="BM85" s="341"/>
      <c r="BN85" s="341"/>
      <c r="BO85" s="341"/>
      <c r="BP85" s="341"/>
      <c r="BQ85" s="341"/>
      <c r="BR85" s="340"/>
    </row>
    <row r="86" spans="2:125" ht="6" customHeight="1">
      <c r="B86" s="645">
        <v>9</v>
      </c>
      <c r="C86" s="640"/>
      <c r="E86" s="638" t="s">
        <v>2976</v>
      </c>
      <c r="F86" s="638"/>
      <c r="G86" s="638"/>
      <c r="H86" s="638"/>
      <c r="I86" s="638"/>
      <c r="J86" s="638"/>
      <c r="K86" s="638"/>
      <c r="L86" s="638"/>
      <c r="M86" s="638"/>
      <c r="N86" s="638"/>
      <c r="O86" s="638"/>
      <c r="P86" s="638"/>
      <c r="Q86" s="638"/>
      <c r="R86" s="638"/>
      <c r="S86" s="345"/>
      <c r="AA86" s="666"/>
      <c r="AB86" s="666"/>
      <c r="AC86" s="666"/>
      <c r="AD86" s="666"/>
      <c r="AE86" s="666"/>
      <c r="AF86" s="666"/>
      <c r="AG86" s="666"/>
      <c r="AI86" s="643" t="s">
        <v>2975</v>
      </c>
      <c r="AJ86" s="643"/>
      <c r="AK86" s="643"/>
      <c r="AL86" s="643"/>
      <c r="AM86" s="643"/>
      <c r="AN86" s="643"/>
      <c r="BR86" s="345"/>
    </row>
    <row r="87" spans="2:125" ht="6" customHeight="1">
      <c r="B87" s="645"/>
      <c r="C87" s="640"/>
      <c r="E87" s="638"/>
      <c r="F87" s="638"/>
      <c r="G87" s="638"/>
      <c r="H87" s="638"/>
      <c r="I87" s="638"/>
      <c r="J87" s="638"/>
      <c r="K87" s="638"/>
      <c r="L87" s="638"/>
      <c r="M87" s="638"/>
      <c r="N87" s="638"/>
      <c r="O87" s="638"/>
      <c r="P87" s="638"/>
      <c r="Q87" s="638"/>
      <c r="R87" s="638"/>
      <c r="S87" s="345"/>
      <c r="AA87" s="666"/>
      <c r="AB87" s="666"/>
      <c r="AC87" s="666"/>
      <c r="AD87" s="666"/>
      <c r="AE87" s="666"/>
      <c r="AF87" s="666"/>
      <c r="AG87" s="666"/>
      <c r="AI87" s="643"/>
      <c r="AJ87" s="643"/>
      <c r="AK87" s="643"/>
      <c r="AL87" s="643"/>
      <c r="AM87" s="643"/>
      <c r="AN87" s="643"/>
      <c r="BR87" s="345"/>
    </row>
    <row r="88" spans="2:125" ht="6" customHeight="1">
      <c r="B88" s="645"/>
      <c r="C88" s="640"/>
      <c r="E88" s="638"/>
      <c r="F88" s="638"/>
      <c r="G88" s="638"/>
      <c r="H88" s="638"/>
      <c r="I88" s="638"/>
      <c r="J88" s="638"/>
      <c r="K88" s="638"/>
      <c r="L88" s="638"/>
      <c r="M88" s="638"/>
      <c r="N88" s="638"/>
      <c r="O88" s="638"/>
      <c r="P88" s="638"/>
      <c r="Q88" s="638"/>
      <c r="R88" s="638"/>
      <c r="S88" s="345"/>
      <c r="AA88" s="666"/>
      <c r="AB88" s="666"/>
      <c r="AC88" s="666"/>
      <c r="AD88" s="666"/>
      <c r="AE88" s="666"/>
      <c r="AF88" s="666"/>
      <c r="AG88" s="666"/>
      <c r="AI88" s="643"/>
      <c r="AJ88" s="643"/>
      <c r="AK88" s="643"/>
      <c r="AL88" s="643"/>
      <c r="AM88" s="643"/>
      <c r="AN88" s="643"/>
      <c r="BR88" s="345"/>
    </row>
    <row r="89" spans="2:125" ht="6" customHeight="1">
      <c r="B89" s="645"/>
      <c r="C89" s="640"/>
      <c r="E89" s="638"/>
      <c r="F89" s="638"/>
      <c r="G89" s="638"/>
      <c r="H89" s="638"/>
      <c r="I89" s="638"/>
      <c r="J89" s="638"/>
      <c r="K89" s="638"/>
      <c r="L89" s="638"/>
      <c r="M89" s="638"/>
      <c r="N89" s="638"/>
      <c r="O89" s="638"/>
      <c r="P89" s="638"/>
      <c r="Q89" s="638"/>
      <c r="R89" s="638"/>
      <c r="S89" s="345"/>
      <c r="AA89" s="666"/>
      <c r="AB89" s="666"/>
      <c r="AC89" s="666"/>
      <c r="AD89" s="666"/>
      <c r="AE89" s="666"/>
      <c r="AF89" s="666"/>
      <c r="AG89" s="666"/>
      <c r="AI89" s="643"/>
      <c r="AJ89" s="643"/>
      <c r="AK89" s="643"/>
      <c r="AL89" s="643"/>
      <c r="AM89" s="643"/>
      <c r="AN89" s="643"/>
      <c r="BR89" s="345"/>
    </row>
    <row r="90" spans="2:125" ht="6" customHeight="1">
      <c r="B90" s="665"/>
      <c r="C90" s="641"/>
      <c r="D90" s="341"/>
      <c r="E90" s="639"/>
      <c r="F90" s="639"/>
      <c r="G90" s="639"/>
      <c r="H90" s="639"/>
      <c r="I90" s="639"/>
      <c r="J90" s="639"/>
      <c r="K90" s="639"/>
      <c r="L90" s="639"/>
      <c r="M90" s="639"/>
      <c r="N90" s="639"/>
      <c r="O90" s="639"/>
      <c r="P90" s="639"/>
      <c r="Q90" s="639"/>
      <c r="R90" s="639"/>
      <c r="S90" s="340"/>
      <c r="T90" s="341"/>
      <c r="U90" s="341"/>
      <c r="V90" s="341"/>
      <c r="W90" s="341"/>
      <c r="X90" s="341"/>
      <c r="Y90" s="341"/>
      <c r="Z90" s="341"/>
      <c r="AA90" s="667"/>
      <c r="AB90" s="667"/>
      <c r="AC90" s="667"/>
      <c r="AD90" s="667"/>
      <c r="AE90" s="667"/>
      <c r="AF90" s="667"/>
      <c r="AG90" s="667"/>
      <c r="AH90" s="341"/>
      <c r="AI90" s="668"/>
      <c r="AJ90" s="668"/>
      <c r="AK90" s="668"/>
      <c r="AL90" s="668"/>
      <c r="AM90" s="668"/>
      <c r="AN90" s="668"/>
      <c r="AO90" s="341"/>
      <c r="AP90" s="341"/>
      <c r="AQ90" s="341"/>
      <c r="AR90" s="341"/>
      <c r="AS90" s="341"/>
      <c r="AT90" s="341"/>
      <c r="AU90" s="341"/>
      <c r="AV90" s="341"/>
      <c r="AW90" s="341"/>
      <c r="AX90" s="341"/>
      <c r="AY90" s="341"/>
      <c r="AZ90" s="341"/>
      <c r="BA90" s="341"/>
      <c r="BB90" s="341"/>
      <c r="BC90" s="341"/>
      <c r="BD90" s="341"/>
      <c r="BE90" s="341"/>
      <c r="BF90" s="341"/>
      <c r="BG90" s="341"/>
      <c r="BH90" s="341"/>
      <c r="BI90" s="341"/>
      <c r="BJ90" s="341"/>
      <c r="BK90" s="341"/>
      <c r="BL90" s="341"/>
      <c r="BM90" s="341"/>
      <c r="BN90" s="341"/>
      <c r="BO90" s="341"/>
      <c r="BP90" s="341"/>
      <c r="BQ90" s="341"/>
      <c r="BR90" s="340"/>
    </row>
    <row r="91" spans="2:125" ht="6" customHeight="1">
      <c r="B91" s="355">
        <v>10</v>
      </c>
      <c r="S91" s="345"/>
      <c r="BR91" s="345"/>
    </row>
    <row r="92" spans="2:125" ht="6" customHeight="1">
      <c r="B92" s="355"/>
      <c r="I92" s="354"/>
      <c r="J92" s="354"/>
      <c r="K92" s="354"/>
      <c r="S92" s="345"/>
      <c r="T92" s="353"/>
      <c r="U92" s="352"/>
      <c r="V92" s="616" t="s">
        <v>53</v>
      </c>
      <c r="W92" s="616"/>
      <c r="X92" s="616"/>
      <c r="Y92" s="643" t="s">
        <v>2974</v>
      </c>
      <c r="Z92" s="643"/>
      <c r="AA92" s="643"/>
      <c r="AB92" s="643"/>
      <c r="AC92" s="643"/>
      <c r="AD92" s="643"/>
      <c r="AE92" s="643"/>
      <c r="AF92" s="643"/>
      <c r="AG92" s="643"/>
      <c r="AH92" s="643"/>
      <c r="AI92" s="643"/>
      <c r="AJ92" s="643"/>
      <c r="AK92" s="643"/>
      <c r="AL92" s="643"/>
      <c r="AM92" s="643"/>
      <c r="AN92" s="643"/>
      <c r="AO92" s="643"/>
      <c r="AP92" s="643"/>
      <c r="AQ92" s="643"/>
      <c r="AR92" s="643"/>
      <c r="AS92" s="643"/>
      <c r="AT92" s="643"/>
      <c r="AU92" s="643"/>
      <c r="AV92" s="643"/>
      <c r="AW92" s="643"/>
      <c r="AX92" s="643"/>
      <c r="AY92" s="643"/>
      <c r="AZ92" s="643"/>
      <c r="BA92" s="643"/>
      <c r="BB92" s="643"/>
      <c r="BC92" s="643"/>
      <c r="BR92" s="345"/>
    </row>
    <row r="93" spans="2:125" ht="6" customHeight="1">
      <c r="B93" s="355"/>
      <c r="I93" s="354"/>
      <c r="J93" s="354"/>
      <c r="K93" s="354"/>
      <c r="S93" s="345"/>
      <c r="T93" s="353"/>
      <c r="U93" s="352"/>
      <c r="V93" s="616"/>
      <c r="W93" s="616"/>
      <c r="X93" s="616"/>
      <c r="Y93" s="643"/>
      <c r="Z93" s="643"/>
      <c r="AA93" s="643"/>
      <c r="AB93" s="643"/>
      <c r="AC93" s="643"/>
      <c r="AD93" s="643"/>
      <c r="AE93" s="643"/>
      <c r="AF93" s="643"/>
      <c r="AG93" s="643"/>
      <c r="AH93" s="643"/>
      <c r="AI93" s="643"/>
      <c r="AJ93" s="643"/>
      <c r="AK93" s="643"/>
      <c r="AL93" s="643"/>
      <c r="AM93" s="643"/>
      <c r="AN93" s="643"/>
      <c r="AO93" s="643"/>
      <c r="AP93" s="643"/>
      <c r="AQ93" s="643"/>
      <c r="AR93" s="643"/>
      <c r="AS93" s="643"/>
      <c r="AT93" s="643"/>
      <c r="AU93" s="643"/>
      <c r="AV93" s="643"/>
      <c r="AW93" s="643"/>
      <c r="AX93" s="643"/>
      <c r="AY93" s="643"/>
      <c r="AZ93" s="643"/>
      <c r="BA93" s="643"/>
      <c r="BB93" s="643"/>
      <c r="BC93" s="643"/>
      <c r="BR93" s="345"/>
    </row>
    <row r="94" spans="2:125" ht="6" customHeight="1">
      <c r="B94" s="355"/>
      <c r="S94" s="345"/>
      <c r="T94" s="352"/>
      <c r="U94" s="352"/>
      <c r="Y94" s="616" t="s">
        <v>2973</v>
      </c>
      <c r="Z94" s="616"/>
      <c r="AA94" s="616"/>
      <c r="AB94" s="666"/>
      <c r="AC94" s="666"/>
      <c r="AD94" s="666"/>
      <c r="AE94" s="666"/>
      <c r="AF94" s="666"/>
      <c r="AG94" s="616" t="s">
        <v>2972</v>
      </c>
      <c r="AH94" s="616"/>
      <c r="AI94" s="616"/>
      <c r="AJ94" s="616"/>
      <c r="AK94" s="666"/>
      <c r="AL94" s="666"/>
      <c r="AM94" s="666"/>
      <c r="AN94" s="666"/>
      <c r="AO94" s="666"/>
      <c r="AP94" s="616" t="s">
        <v>4</v>
      </c>
      <c r="AQ94" s="616"/>
      <c r="AR94" s="349"/>
      <c r="AS94" s="349"/>
      <c r="AT94" s="349"/>
      <c r="AU94" s="349"/>
      <c r="AV94" s="349"/>
      <c r="AW94" s="349"/>
      <c r="AX94" s="349"/>
      <c r="AY94" s="349"/>
      <c r="AZ94" s="349"/>
      <c r="BR94" s="345"/>
    </row>
    <row r="95" spans="2:125" ht="6" customHeight="1">
      <c r="B95" s="669">
        <v>10</v>
      </c>
      <c r="C95" s="655"/>
      <c r="D95" s="655"/>
      <c r="E95" s="643" t="s">
        <v>2971</v>
      </c>
      <c r="F95" s="643"/>
      <c r="G95" s="643"/>
      <c r="H95" s="643"/>
      <c r="I95" s="643"/>
      <c r="J95" s="643"/>
      <c r="K95" s="643"/>
      <c r="L95" s="643"/>
      <c r="M95" s="643"/>
      <c r="N95" s="643"/>
      <c r="O95" s="643"/>
      <c r="P95" s="643"/>
      <c r="Q95" s="643"/>
      <c r="R95" s="643"/>
      <c r="S95" s="646"/>
      <c r="T95" s="348"/>
      <c r="Y95" s="616"/>
      <c r="Z95" s="616"/>
      <c r="AA95" s="616"/>
      <c r="AB95" s="666"/>
      <c r="AC95" s="666"/>
      <c r="AD95" s="666"/>
      <c r="AE95" s="666"/>
      <c r="AF95" s="666"/>
      <c r="AG95" s="616"/>
      <c r="AH95" s="616"/>
      <c r="AI95" s="616"/>
      <c r="AJ95" s="616"/>
      <c r="AK95" s="666"/>
      <c r="AL95" s="666"/>
      <c r="AM95" s="666"/>
      <c r="AN95" s="666"/>
      <c r="AO95" s="666"/>
      <c r="AP95" s="616"/>
      <c r="AQ95" s="616"/>
      <c r="AR95" s="349"/>
      <c r="AS95" s="349"/>
      <c r="AT95" s="349"/>
      <c r="AU95" s="349"/>
      <c r="AV95" s="349"/>
      <c r="AW95" s="349"/>
      <c r="AX95" s="349"/>
      <c r="AY95" s="349"/>
      <c r="AZ95" s="349"/>
      <c r="BR95" s="345"/>
    </row>
    <row r="96" spans="2:125" ht="6" customHeight="1">
      <c r="B96" s="669"/>
      <c r="C96" s="655"/>
      <c r="D96" s="655"/>
      <c r="E96" s="643"/>
      <c r="F96" s="643"/>
      <c r="G96" s="643"/>
      <c r="H96" s="643"/>
      <c r="I96" s="643"/>
      <c r="J96" s="643"/>
      <c r="K96" s="643"/>
      <c r="L96" s="643"/>
      <c r="M96" s="643"/>
      <c r="N96" s="643"/>
      <c r="O96" s="643"/>
      <c r="P96" s="643"/>
      <c r="Q96" s="643"/>
      <c r="R96" s="643"/>
      <c r="S96" s="646"/>
      <c r="AL96" s="349"/>
      <c r="AM96" s="349"/>
      <c r="AN96" s="349"/>
      <c r="AO96" s="349"/>
      <c r="AP96" s="349"/>
      <c r="AQ96" s="349"/>
      <c r="AR96" s="349"/>
      <c r="AS96" s="349"/>
      <c r="AT96" s="349"/>
      <c r="AU96" s="349"/>
      <c r="AV96" s="349"/>
      <c r="AW96" s="349"/>
      <c r="AX96" s="349"/>
      <c r="AY96" s="349"/>
      <c r="AZ96" s="349"/>
      <c r="BR96" s="345"/>
    </row>
    <row r="97" spans="2:70" ht="6" customHeight="1">
      <c r="B97" s="669"/>
      <c r="C97" s="655"/>
      <c r="D97" s="655"/>
      <c r="E97" s="643"/>
      <c r="F97" s="643"/>
      <c r="G97" s="643"/>
      <c r="H97" s="643"/>
      <c r="I97" s="643"/>
      <c r="J97" s="643"/>
      <c r="K97" s="643"/>
      <c r="L97" s="643"/>
      <c r="M97" s="643"/>
      <c r="N97" s="643"/>
      <c r="O97" s="643"/>
      <c r="P97" s="643"/>
      <c r="Q97" s="643"/>
      <c r="R97" s="643"/>
      <c r="S97" s="646"/>
      <c r="T97" s="353"/>
      <c r="U97" s="352"/>
      <c r="V97" s="616" t="s">
        <v>55</v>
      </c>
      <c r="W97" s="616"/>
      <c r="X97" s="616"/>
      <c r="Y97" s="643" t="s">
        <v>2970</v>
      </c>
      <c r="Z97" s="643"/>
      <c r="AA97" s="643"/>
      <c r="AB97" s="643"/>
      <c r="AC97" s="643"/>
      <c r="AD97" s="643"/>
      <c r="AE97" s="643"/>
      <c r="AF97" s="643"/>
      <c r="AG97" s="643"/>
      <c r="BR97" s="345"/>
    </row>
    <row r="98" spans="2:70" ht="6" customHeight="1">
      <c r="B98" s="355"/>
      <c r="I98" s="354"/>
      <c r="J98" s="354"/>
      <c r="K98" s="354"/>
      <c r="S98" s="345"/>
      <c r="T98" s="353"/>
      <c r="U98" s="352"/>
      <c r="V98" s="616"/>
      <c r="W98" s="616"/>
      <c r="X98" s="616"/>
      <c r="Y98" s="643"/>
      <c r="Z98" s="643"/>
      <c r="AA98" s="643"/>
      <c r="AB98" s="643"/>
      <c r="AC98" s="643"/>
      <c r="AD98" s="643"/>
      <c r="AE98" s="643"/>
      <c r="AF98" s="643"/>
      <c r="AG98" s="643"/>
      <c r="BR98" s="345"/>
    </row>
    <row r="99" spans="2:70" ht="6" customHeight="1">
      <c r="B99" s="348"/>
      <c r="S99" s="345"/>
      <c r="Y99" s="640" t="s">
        <v>3</v>
      </c>
      <c r="Z99" s="640"/>
      <c r="AA99" s="634"/>
      <c r="AB99" s="634"/>
      <c r="AC99" s="634"/>
      <c r="AD99" s="634"/>
      <c r="AE99" s="634"/>
      <c r="AF99" s="634"/>
      <c r="AG99" s="634"/>
      <c r="AH99" s="634"/>
      <c r="AI99" s="634"/>
      <c r="AJ99" s="634"/>
      <c r="AK99" s="634"/>
      <c r="AL99" s="634"/>
      <c r="AM99" s="634"/>
      <c r="AN99" s="634"/>
      <c r="AO99" s="634"/>
      <c r="AP99" s="634"/>
      <c r="AQ99" s="634"/>
      <c r="AR99" s="634"/>
      <c r="AS99" s="634"/>
      <c r="AT99" s="634"/>
      <c r="AU99" s="634"/>
      <c r="AV99" s="634"/>
      <c r="AW99" s="634"/>
      <c r="AX99" s="634"/>
      <c r="AY99" s="634"/>
      <c r="AZ99" s="634"/>
      <c r="BA99" s="634"/>
      <c r="BB99" s="634"/>
      <c r="BC99" s="634"/>
      <c r="BD99" s="634"/>
      <c r="BE99" s="634"/>
      <c r="BF99" s="634"/>
      <c r="BG99" s="634"/>
      <c r="BH99" s="634"/>
      <c r="BI99" s="634"/>
      <c r="BJ99" s="634"/>
      <c r="BK99" s="634"/>
      <c r="BL99" s="634"/>
      <c r="BM99" s="634"/>
      <c r="BN99" s="634"/>
      <c r="BO99" s="634"/>
      <c r="BP99" s="640" t="s">
        <v>4</v>
      </c>
      <c r="BQ99" s="640"/>
      <c r="BR99" s="345"/>
    </row>
    <row r="100" spans="2:70" ht="6" customHeight="1">
      <c r="B100" s="348"/>
      <c r="S100" s="345"/>
      <c r="Y100" s="640"/>
      <c r="Z100" s="640"/>
      <c r="AA100" s="634"/>
      <c r="AB100" s="634"/>
      <c r="AC100" s="634"/>
      <c r="AD100" s="634"/>
      <c r="AE100" s="634"/>
      <c r="AF100" s="634"/>
      <c r="AG100" s="634"/>
      <c r="AH100" s="634"/>
      <c r="AI100" s="634"/>
      <c r="AJ100" s="634"/>
      <c r="AK100" s="634"/>
      <c r="AL100" s="634"/>
      <c r="AM100" s="634"/>
      <c r="AN100" s="634"/>
      <c r="AO100" s="634"/>
      <c r="AP100" s="634"/>
      <c r="AQ100" s="634"/>
      <c r="AR100" s="634"/>
      <c r="AS100" s="634"/>
      <c r="AT100" s="634"/>
      <c r="AU100" s="634"/>
      <c r="AV100" s="634"/>
      <c r="AW100" s="634"/>
      <c r="AX100" s="634"/>
      <c r="AY100" s="634"/>
      <c r="AZ100" s="634"/>
      <c r="BA100" s="634"/>
      <c r="BB100" s="634"/>
      <c r="BC100" s="634"/>
      <c r="BD100" s="634"/>
      <c r="BE100" s="634"/>
      <c r="BF100" s="634"/>
      <c r="BG100" s="634"/>
      <c r="BH100" s="634"/>
      <c r="BI100" s="634"/>
      <c r="BJ100" s="634"/>
      <c r="BK100" s="634"/>
      <c r="BL100" s="634"/>
      <c r="BM100" s="634"/>
      <c r="BN100" s="634"/>
      <c r="BO100" s="634"/>
      <c r="BP100" s="640"/>
      <c r="BQ100" s="640"/>
      <c r="BR100" s="345"/>
    </row>
    <row r="101" spans="2:70" ht="6" customHeight="1">
      <c r="B101" s="344"/>
      <c r="C101" s="341"/>
      <c r="D101" s="341"/>
      <c r="E101" s="341"/>
      <c r="F101" s="341"/>
      <c r="G101" s="341"/>
      <c r="H101" s="341"/>
      <c r="I101" s="341"/>
      <c r="J101" s="341"/>
      <c r="K101" s="341"/>
      <c r="L101" s="341"/>
      <c r="M101" s="341"/>
      <c r="N101" s="341"/>
      <c r="O101" s="341"/>
      <c r="P101" s="341"/>
      <c r="Q101" s="341"/>
      <c r="R101" s="341"/>
      <c r="S101" s="340"/>
      <c r="T101" s="341"/>
      <c r="U101" s="341"/>
      <c r="V101" s="341"/>
      <c r="W101" s="341"/>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1"/>
      <c r="BI101" s="341"/>
      <c r="BJ101" s="341"/>
      <c r="BK101" s="341"/>
      <c r="BL101" s="341"/>
      <c r="BM101" s="341"/>
      <c r="BN101" s="341"/>
      <c r="BO101" s="341"/>
      <c r="BP101" s="341"/>
      <c r="BQ101" s="341"/>
      <c r="BR101" s="340"/>
    </row>
    <row r="102" spans="2:70" ht="6" customHeight="1">
      <c r="B102" s="348"/>
      <c r="S102" s="345"/>
      <c r="T102" s="670" t="s">
        <v>2969</v>
      </c>
      <c r="U102" s="638"/>
      <c r="V102" s="638"/>
      <c r="W102" s="638"/>
      <c r="X102" s="638"/>
      <c r="Y102" s="638"/>
      <c r="Z102" s="345"/>
      <c r="AA102" s="347"/>
      <c r="AB102" s="616" t="s">
        <v>2968</v>
      </c>
      <c r="AC102" s="616"/>
      <c r="AD102" s="616"/>
      <c r="AE102" s="616"/>
      <c r="AG102" s="642"/>
      <c r="AH102" s="642"/>
      <c r="AI102" s="642"/>
      <c r="AJ102" s="642"/>
      <c r="AK102" s="642"/>
      <c r="AL102" s="642"/>
      <c r="AM102" s="642"/>
      <c r="AN102" s="616" t="s">
        <v>2967</v>
      </c>
      <c r="AO102" s="616"/>
      <c r="AP102" s="616"/>
      <c r="AQ102" s="616"/>
      <c r="AR102" s="346"/>
      <c r="AS102" s="347"/>
      <c r="AT102" s="638" t="s">
        <v>2966</v>
      </c>
      <c r="AU102" s="638"/>
      <c r="AV102" s="638"/>
      <c r="AW102" s="638"/>
      <c r="AX102" s="638"/>
      <c r="AY102" s="638"/>
      <c r="AZ102" s="346"/>
      <c r="BA102" s="347"/>
      <c r="BB102" s="673"/>
      <c r="BC102" s="673"/>
      <c r="BD102" s="673"/>
      <c r="BE102" s="673"/>
      <c r="BF102" s="673"/>
      <c r="BG102" s="673"/>
      <c r="BH102" s="673"/>
      <c r="BI102" s="673"/>
      <c r="BM102" s="616" t="s">
        <v>2965</v>
      </c>
      <c r="BN102" s="616"/>
      <c r="BO102" s="616"/>
      <c r="BP102" s="616"/>
      <c r="BQ102" s="616"/>
      <c r="BR102" s="345"/>
    </row>
    <row r="103" spans="2:70" ht="6" customHeight="1">
      <c r="B103" s="348"/>
      <c r="S103" s="345"/>
      <c r="T103" s="670"/>
      <c r="U103" s="638"/>
      <c r="V103" s="638"/>
      <c r="W103" s="638"/>
      <c r="X103" s="638"/>
      <c r="Y103" s="638"/>
      <c r="Z103" s="345"/>
      <c r="AA103" s="347"/>
      <c r="AB103" s="616"/>
      <c r="AC103" s="616"/>
      <c r="AD103" s="616"/>
      <c r="AE103" s="616"/>
      <c r="AG103" s="642"/>
      <c r="AH103" s="642"/>
      <c r="AI103" s="642"/>
      <c r="AJ103" s="642"/>
      <c r="AK103" s="642"/>
      <c r="AL103" s="642"/>
      <c r="AM103" s="642"/>
      <c r="AN103" s="616"/>
      <c r="AO103" s="616"/>
      <c r="AP103" s="616"/>
      <c r="AQ103" s="616"/>
      <c r="AR103" s="346"/>
      <c r="AS103" s="347"/>
      <c r="AT103" s="638"/>
      <c r="AU103" s="638"/>
      <c r="AV103" s="638"/>
      <c r="AW103" s="638"/>
      <c r="AX103" s="638"/>
      <c r="AY103" s="638"/>
      <c r="AZ103" s="346"/>
      <c r="BA103" s="347"/>
      <c r="BB103" s="673"/>
      <c r="BC103" s="673"/>
      <c r="BD103" s="673"/>
      <c r="BE103" s="673"/>
      <c r="BF103" s="673"/>
      <c r="BG103" s="673"/>
      <c r="BH103" s="673"/>
      <c r="BI103" s="673"/>
      <c r="BM103" s="616"/>
      <c r="BN103" s="616"/>
      <c r="BO103" s="616"/>
      <c r="BP103" s="616"/>
      <c r="BQ103" s="616"/>
      <c r="BR103" s="345"/>
    </row>
    <row r="104" spans="2:70" ht="6" customHeight="1">
      <c r="B104" s="348"/>
      <c r="S104" s="345"/>
      <c r="T104" s="670"/>
      <c r="U104" s="638"/>
      <c r="V104" s="638"/>
      <c r="W104" s="638"/>
      <c r="X104" s="638"/>
      <c r="Y104" s="638"/>
      <c r="Z104" s="345"/>
      <c r="AA104" s="347"/>
      <c r="AB104" s="616"/>
      <c r="AC104" s="616"/>
      <c r="AD104" s="616"/>
      <c r="AE104" s="616"/>
      <c r="AG104" s="642"/>
      <c r="AH104" s="642"/>
      <c r="AI104" s="642"/>
      <c r="AJ104" s="642"/>
      <c r="AK104" s="642"/>
      <c r="AL104" s="642"/>
      <c r="AM104" s="642"/>
      <c r="AN104" s="616"/>
      <c r="AO104" s="616"/>
      <c r="AP104" s="616"/>
      <c r="AQ104" s="616"/>
      <c r="AR104" s="346"/>
      <c r="AS104" s="347"/>
      <c r="AT104" s="638"/>
      <c r="AU104" s="638"/>
      <c r="AV104" s="638"/>
      <c r="AW104" s="638"/>
      <c r="AX104" s="638"/>
      <c r="AY104" s="638"/>
      <c r="AZ104" s="346"/>
      <c r="BA104" s="347"/>
      <c r="BB104" s="673"/>
      <c r="BC104" s="673"/>
      <c r="BD104" s="673"/>
      <c r="BE104" s="673"/>
      <c r="BF104" s="673"/>
      <c r="BG104" s="673"/>
      <c r="BH104" s="673"/>
      <c r="BI104" s="673"/>
      <c r="BM104" s="616"/>
      <c r="BN104" s="616"/>
      <c r="BO104" s="616"/>
      <c r="BP104" s="616"/>
      <c r="BQ104" s="616"/>
      <c r="BR104" s="345"/>
    </row>
    <row r="105" spans="2:70" ht="6" customHeight="1">
      <c r="B105" s="348"/>
      <c r="S105" s="345"/>
      <c r="T105" s="670"/>
      <c r="U105" s="638"/>
      <c r="V105" s="638"/>
      <c r="W105" s="638"/>
      <c r="X105" s="638"/>
      <c r="Y105" s="638"/>
      <c r="Z105" s="345"/>
      <c r="AA105" s="347"/>
      <c r="AB105" s="616"/>
      <c r="AC105" s="616"/>
      <c r="AD105" s="616"/>
      <c r="AE105" s="616"/>
      <c r="AG105" s="642"/>
      <c r="AH105" s="642"/>
      <c r="AI105" s="642"/>
      <c r="AJ105" s="642"/>
      <c r="AK105" s="642"/>
      <c r="AL105" s="642"/>
      <c r="AM105" s="642"/>
      <c r="AN105" s="616"/>
      <c r="AO105" s="616"/>
      <c r="AP105" s="616"/>
      <c r="AQ105" s="616"/>
      <c r="AR105" s="346"/>
      <c r="AS105" s="347"/>
      <c r="AT105" s="638"/>
      <c r="AU105" s="638"/>
      <c r="AV105" s="638"/>
      <c r="AW105" s="638"/>
      <c r="AX105" s="638"/>
      <c r="AY105" s="638"/>
      <c r="AZ105" s="346"/>
      <c r="BA105" s="347"/>
      <c r="BB105" s="673"/>
      <c r="BC105" s="673"/>
      <c r="BD105" s="673"/>
      <c r="BE105" s="673"/>
      <c r="BF105" s="673"/>
      <c r="BG105" s="673"/>
      <c r="BH105" s="673"/>
      <c r="BI105" s="673"/>
      <c r="BM105" s="616"/>
      <c r="BN105" s="616"/>
      <c r="BO105" s="616"/>
      <c r="BP105" s="616"/>
      <c r="BQ105" s="616"/>
      <c r="BR105" s="345"/>
    </row>
    <row r="106" spans="2:70" ht="6" customHeight="1">
      <c r="B106" s="669">
        <v>11</v>
      </c>
      <c r="C106" s="655"/>
      <c r="D106" s="655"/>
      <c r="E106" s="638" t="s">
        <v>2964</v>
      </c>
      <c r="F106" s="638"/>
      <c r="G106" s="638"/>
      <c r="H106" s="638"/>
      <c r="I106" s="638"/>
      <c r="J106" s="638"/>
      <c r="K106" s="638"/>
      <c r="L106" s="638"/>
      <c r="M106" s="638"/>
      <c r="N106" s="638"/>
      <c r="O106" s="638"/>
      <c r="P106" s="638"/>
      <c r="Q106" s="638"/>
      <c r="R106" s="638"/>
      <c r="S106" s="345"/>
      <c r="T106" s="671"/>
      <c r="U106" s="639"/>
      <c r="V106" s="639"/>
      <c r="W106" s="639"/>
      <c r="X106" s="639"/>
      <c r="Y106" s="639"/>
      <c r="Z106" s="340"/>
      <c r="AA106" s="343"/>
      <c r="AB106" s="618"/>
      <c r="AC106" s="618"/>
      <c r="AD106" s="618"/>
      <c r="AE106" s="618"/>
      <c r="AF106" s="341"/>
      <c r="AG106" s="672"/>
      <c r="AH106" s="672"/>
      <c r="AI106" s="672"/>
      <c r="AJ106" s="672"/>
      <c r="AK106" s="672"/>
      <c r="AL106" s="672"/>
      <c r="AM106" s="672"/>
      <c r="AN106" s="618"/>
      <c r="AO106" s="618"/>
      <c r="AP106" s="618"/>
      <c r="AQ106" s="618"/>
      <c r="AR106" s="342"/>
      <c r="AS106" s="343"/>
      <c r="AT106" s="639"/>
      <c r="AU106" s="639"/>
      <c r="AV106" s="639"/>
      <c r="AW106" s="639"/>
      <c r="AX106" s="639"/>
      <c r="AY106" s="639"/>
      <c r="AZ106" s="342"/>
      <c r="BA106" s="343"/>
      <c r="BB106" s="674"/>
      <c r="BC106" s="674"/>
      <c r="BD106" s="674"/>
      <c r="BE106" s="674"/>
      <c r="BF106" s="674"/>
      <c r="BG106" s="674"/>
      <c r="BH106" s="674"/>
      <c r="BI106" s="674"/>
      <c r="BJ106" s="341"/>
      <c r="BK106" s="341"/>
      <c r="BL106" s="341"/>
      <c r="BM106" s="618"/>
      <c r="BN106" s="618"/>
      <c r="BO106" s="618"/>
      <c r="BP106" s="618"/>
      <c r="BQ106" s="618"/>
      <c r="BR106" s="340"/>
    </row>
    <row r="107" spans="2:70" ht="6" customHeight="1">
      <c r="B107" s="669"/>
      <c r="C107" s="655"/>
      <c r="D107" s="655"/>
      <c r="E107" s="638"/>
      <c r="F107" s="638"/>
      <c r="G107" s="638"/>
      <c r="H107" s="638"/>
      <c r="I107" s="638"/>
      <c r="J107" s="638"/>
      <c r="K107" s="638"/>
      <c r="L107" s="638"/>
      <c r="M107" s="638"/>
      <c r="N107" s="638"/>
      <c r="O107" s="638"/>
      <c r="P107" s="638"/>
      <c r="Q107" s="638"/>
      <c r="R107" s="638"/>
      <c r="S107" s="346"/>
      <c r="T107" s="670" t="s">
        <v>2963</v>
      </c>
      <c r="U107" s="638"/>
      <c r="V107" s="638"/>
      <c r="W107" s="638"/>
      <c r="X107" s="638"/>
      <c r="Y107" s="638"/>
      <c r="Z107" s="345"/>
      <c r="AB107" s="634"/>
      <c r="AC107" s="634"/>
      <c r="AD107" s="634"/>
      <c r="AE107" s="634"/>
      <c r="AF107" s="634"/>
      <c r="AG107" s="634"/>
      <c r="AH107" s="634"/>
      <c r="AI107" s="634"/>
      <c r="AJ107" s="634"/>
      <c r="AK107" s="634"/>
      <c r="AL107" s="634"/>
      <c r="AM107" s="634"/>
      <c r="AN107" s="634"/>
      <c r="AO107" s="634"/>
      <c r="AP107" s="634"/>
      <c r="AQ107" s="634"/>
      <c r="AR107" s="346"/>
      <c r="AS107" s="349"/>
      <c r="AT107" s="616" t="s">
        <v>2962</v>
      </c>
      <c r="AU107" s="616"/>
      <c r="AV107" s="616"/>
      <c r="AW107" s="616"/>
      <c r="AX107" s="616"/>
      <c r="AY107" s="616"/>
      <c r="AZ107" s="346"/>
      <c r="BA107" s="347"/>
      <c r="BB107" s="633" t="s">
        <v>3015</v>
      </c>
      <c r="BC107" s="633"/>
      <c r="BD107" s="616" t="s">
        <v>2961</v>
      </c>
      <c r="BE107" s="616"/>
      <c r="BF107" s="616"/>
      <c r="BG107" s="616"/>
      <c r="BH107" s="640" t="s">
        <v>2960</v>
      </c>
      <c r="BI107" s="640"/>
      <c r="BJ107" s="633"/>
      <c r="BK107" s="633"/>
      <c r="BL107" s="616" t="s">
        <v>2959</v>
      </c>
      <c r="BM107" s="616"/>
      <c r="BN107" s="616"/>
      <c r="BO107" s="616"/>
      <c r="BR107" s="345"/>
    </row>
    <row r="108" spans="2:70" ht="6" customHeight="1">
      <c r="B108" s="351"/>
      <c r="C108" s="350"/>
      <c r="D108" s="350"/>
      <c r="E108" s="339"/>
      <c r="F108" s="339"/>
      <c r="G108" s="339"/>
      <c r="H108" s="339"/>
      <c r="I108" s="339"/>
      <c r="J108" s="339"/>
      <c r="K108" s="339"/>
      <c r="L108" s="339"/>
      <c r="M108" s="339"/>
      <c r="N108" s="339"/>
      <c r="O108" s="339"/>
      <c r="P108" s="339"/>
      <c r="Q108" s="339"/>
      <c r="R108" s="339"/>
      <c r="S108" s="346"/>
      <c r="T108" s="670"/>
      <c r="U108" s="638"/>
      <c r="V108" s="638"/>
      <c r="W108" s="638"/>
      <c r="X108" s="638"/>
      <c r="Y108" s="638"/>
      <c r="Z108" s="345"/>
      <c r="AB108" s="634"/>
      <c r="AC108" s="634"/>
      <c r="AD108" s="634"/>
      <c r="AE108" s="634"/>
      <c r="AF108" s="634"/>
      <c r="AG108" s="634"/>
      <c r="AH108" s="634"/>
      <c r="AI108" s="634"/>
      <c r="AJ108" s="634"/>
      <c r="AK108" s="634"/>
      <c r="AL108" s="634"/>
      <c r="AM108" s="634"/>
      <c r="AN108" s="634"/>
      <c r="AO108" s="634"/>
      <c r="AP108" s="634"/>
      <c r="AQ108" s="634"/>
      <c r="AR108" s="346"/>
      <c r="AS108" s="349"/>
      <c r="AT108" s="616"/>
      <c r="AU108" s="616"/>
      <c r="AV108" s="616"/>
      <c r="AW108" s="616"/>
      <c r="AX108" s="616"/>
      <c r="AY108" s="616"/>
      <c r="AZ108" s="346"/>
      <c r="BA108" s="347"/>
      <c r="BB108" s="633"/>
      <c r="BC108" s="633"/>
      <c r="BD108" s="616"/>
      <c r="BE108" s="616"/>
      <c r="BF108" s="616"/>
      <c r="BG108" s="616"/>
      <c r="BH108" s="640"/>
      <c r="BI108" s="640"/>
      <c r="BJ108" s="633"/>
      <c r="BK108" s="633"/>
      <c r="BL108" s="616"/>
      <c r="BM108" s="616"/>
      <c r="BN108" s="616"/>
      <c r="BO108" s="616"/>
      <c r="BR108" s="345"/>
    </row>
    <row r="109" spans="2:70" ht="6" customHeight="1">
      <c r="B109" s="351"/>
      <c r="C109" s="350"/>
      <c r="D109" s="350"/>
      <c r="E109" s="339"/>
      <c r="F109" s="339"/>
      <c r="G109" s="339"/>
      <c r="H109" s="339"/>
      <c r="I109" s="339"/>
      <c r="J109" s="339"/>
      <c r="K109" s="339"/>
      <c r="L109" s="339"/>
      <c r="M109" s="339"/>
      <c r="N109" s="339"/>
      <c r="O109" s="339"/>
      <c r="P109" s="339"/>
      <c r="Q109" s="339"/>
      <c r="R109" s="339"/>
      <c r="S109" s="346"/>
      <c r="T109" s="670"/>
      <c r="U109" s="638"/>
      <c r="V109" s="638"/>
      <c r="W109" s="638"/>
      <c r="X109" s="638"/>
      <c r="Y109" s="638"/>
      <c r="Z109" s="345"/>
      <c r="AB109" s="634"/>
      <c r="AC109" s="634"/>
      <c r="AD109" s="634"/>
      <c r="AE109" s="634"/>
      <c r="AF109" s="634"/>
      <c r="AG109" s="634"/>
      <c r="AH109" s="634"/>
      <c r="AI109" s="634"/>
      <c r="AJ109" s="634"/>
      <c r="AK109" s="634"/>
      <c r="AL109" s="634"/>
      <c r="AM109" s="634"/>
      <c r="AN109" s="634"/>
      <c r="AO109" s="634"/>
      <c r="AP109" s="634"/>
      <c r="AQ109" s="634"/>
      <c r="AR109" s="346"/>
      <c r="AS109" s="349"/>
      <c r="AT109" s="616"/>
      <c r="AU109" s="616"/>
      <c r="AV109" s="616"/>
      <c r="AW109" s="616"/>
      <c r="AX109" s="616"/>
      <c r="AY109" s="616"/>
      <c r="AZ109" s="346"/>
      <c r="BA109" s="347"/>
      <c r="BB109" s="633"/>
      <c r="BC109" s="633"/>
      <c r="BD109" s="616"/>
      <c r="BE109" s="616"/>
      <c r="BF109" s="616"/>
      <c r="BG109" s="616"/>
      <c r="BH109" s="640"/>
      <c r="BI109" s="640"/>
      <c r="BJ109" s="633"/>
      <c r="BK109" s="633"/>
      <c r="BL109" s="616"/>
      <c r="BM109" s="616"/>
      <c r="BN109" s="616"/>
      <c r="BO109" s="616"/>
      <c r="BR109" s="345"/>
    </row>
    <row r="110" spans="2:70" ht="6" customHeight="1">
      <c r="B110" s="348"/>
      <c r="I110" s="347"/>
      <c r="J110" s="347"/>
      <c r="K110" s="347"/>
      <c r="L110" s="347"/>
      <c r="M110" s="347"/>
      <c r="N110" s="347"/>
      <c r="O110" s="347"/>
      <c r="P110" s="347"/>
      <c r="Q110" s="347"/>
      <c r="R110" s="347"/>
      <c r="S110" s="346"/>
      <c r="T110" s="670"/>
      <c r="U110" s="638"/>
      <c r="V110" s="638"/>
      <c r="W110" s="638"/>
      <c r="X110" s="638"/>
      <c r="Y110" s="638"/>
      <c r="Z110" s="345"/>
      <c r="AB110" s="634"/>
      <c r="AC110" s="634"/>
      <c r="AD110" s="634"/>
      <c r="AE110" s="634"/>
      <c r="AF110" s="634"/>
      <c r="AG110" s="634"/>
      <c r="AH110" s="634"/>
      <c r="AI110" s="634"/>
      <c r="AJ110" s="634"/>
      <c r="AK110" s="634"/>
      <c r="AL110" s="634"/>
      <c r="AM110" s="634"/>
      <c r="AN110" s="634"/>
      <c r="AO110" s="634"/>
      <c r="AP110" s="634"/>
      <c r="AQ110" s="634"/>
      <c r="AR110" s="345"/>
      <c r="AT110" s="616"/>
      <c r="AU110" s="616"/>
      <c r="AV110" s="616"/>
      <c r="AW110" s="616"/>
      <c r="AX110" s="616"/>
      <c r="AY110" s="616"/>
      <c r="AZ110" s="345"/>
      <c r="BB110" s="633"/>
      <c r="BC110" s="633"/>
      <c r="BD110" s="616"/>
      <c r="BE110" s="616"/>
      <c r="BF110" s="616"/>
      <c r="BG110" s="616"/>
      <c r="BH110" s="640"/>
      <c r="BI110" s="640"/>
      <c r="BJ110" s="633"/>
      <c r="BK110" s="633"/>
      <c r="BL110" s="616"/>
      <c r="BM110" s="616"/>
      <c r="BN110" s="616"/>
      <c r="BO110" s="616"/>
      <c r="BR110" s="345"/>
    </row>
    <row r="111" spans="2:70" ht="6" customHeight="1">
      <c r="B111" s="344"/>
      <c r="C111" s="341"/>
      <c r="D111" s="341"/>
      <c r="E111" s="341"/>
      <c r="F111" s="341"/>
      <c r="G111" s="341"/>
      <c r="H111" s="341"/>
      <c r="I111" s="343"/>
      <c r="J111" s="343"/>
      <c r="K111" s="343"/>
      <c r="L111" s="343"/>
      <c r="M111" s="343"/>
      <c r="N111" s="343"/>
      <c r="O111" s="343"/>
      <c r="P111" s="343"/>
      <c r="Q111" s="343"/>
      <c r="R111" s="343"/>
      <c r="S111" s="342"/>
      <c r="T111" s="671"/>
      <c r="U111" s="639"/>
      <c r="V111" s="639"/>
      <c r="W111" s="639"/>
      <c r="X111" s="639"/>
      <c r="Y111" s="639"/>
      <c r="Z111" s="340"/>
      <c r="AA111" s="341"/>
      <c r="AB111" s="676"/>
      <c r="AC111" s="676"/>
      <c r="AD111" s="676"/>
      <c r="AE111" s="676"/>
      <c r="AF111" s="676"/>
      <c r="AG111" s="676"/>
      <c r="AH111" s="676"/>
      <c r="AI111" s="676"/>
      <c r="AJ111" s="676"/>
      <c r="AK111" s="676"/>
      <c r="AL111" s="676"/>
      <c r="AM111" s="676"/>
      <c r="AN111" s="676"/>
      <c r="AO111" s="676"/>
      <c r="AP111" s="676"/>
      <c r="AQ111" s="676"/>
      <c r="AR111" s="340"/>
      <c r="AS111" s="341"/>
      <c r="AT111" s="618"/>
      <c r="AU111" s="618"/>
      <c r="AV111" s="618"/>
      <c r="AW111" s="618"/>
      <c r="AX111" s="618"/>
      <c r="AY111" s="618"/>
      <c r="AZ111" s="340"/>
      <c r="BA111" s="341"/>
      <c r="BB111" s="675"/>
      <c r="BC111" s="675"/>
      <c r="BD111" s="618"/>
      <c r="BE111" s="618"/>
      <c r="BF111" s="618"/>
      <c r="BG111" s="618"/>
      <c r="BH111" s="641"/>
      <c r="BI111" s="641"/>
      <c r="BJ111" s="675"/>
      <c r="BK111" s="675"/>
      <c r="BL111" s="618"/>
      <c r="BM111" s="618"/>
      <c r="BN111" s="618"/>
      <c r="BO111" s="618"/>
      <c r="BP111" s="341"/>
      <c r="BQ111" s="341"/>
      <c r="BR111" s="340"/>
    </row>
    <row r="112" spans="2:70" ht="15" customHeight="1">
      <c r="B112" s="677" t="s">
        <v>2958</v>
      </c>
      <c r="C112" s="677"/>
      <c r="D112" s="677"/>
      <c r="F112" s="678">
        <v>1</v>
      </c>
      <c r="G112" s="678"/>
      <c r="H112" s="679" t="s">
        <v>2957</v>
      </c>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79"/>
      <c r="AY112" s="679"/>
      <c r="AZ112" s="679"/>
      <c r="BA112" s="679"/>
      <c r="BB112" s="679"/>
      <c r="BC112" s="679"/>
      <c r="BD112" s="679"/>
      <c r="BE112" s="679"/>
      <c r="BF112" s="679"/>
      <c r="BG112" s="679"/>
      <c r="BH112" s="679"/>
      <c r="BI112" s="679"/>
      <c r="BJ112" s="679"/>
      <c r="BK112" s="679"/>
      <c r="BL112" s="679"/>
      <c r="BM112" s="679"/>
      <c r="BN112" s="679"/>
      <c r="BO112" s="679"/>
      <c r="BP112" s="679"/>
      <c r="BQ112" s="679"/>
      <c r="BR112" s="679"/>
    </row>
    <row r="113" spans="2:70" ht="15" customHeight="1">
      <c r="C113" s="339">
        <v>2</v>
      </c>
      <c r="F113" s="678">
        <v>2</v>
      </c>
      <c r="G113" s="678"/>
      <c r="H113" s="680" t="s">
        <v>2956</v>
      </c>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row>
    <row r="114" spans="2:70" ht="15" customHeight="1">
      <c r="C114" s="339">
        <v>3</v>
      </c>
      <c r="F114" s="678">
        <v>3</v>
      </c>
      <c r="G114" s="678"/>
      <c r="H114" s="680" t="s">
        <v>2955</v>
      </c>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row>
    <row r="115" spans="2:70" ht="15" customHeight="1">
      <c r="C115" s="339">
        <v>4</v>
      </c>
      <c r="F115" s="678">
        <v>4</v>
      </c>
      <c r="G115" s="678"/>
      <c r="H115" s="684" t="s">
        <v>3258</v>
      </c>
      <c r="I115" s="684"/>
      <c r="J115" s="684"/>
      <c r="K115" s="684"/>
      <c r="L115" s="684"/>
      <c r="M115" s="684"/>
      <c r="N115" s="684"/>
      <c r="O115" s="684"/>
      <c r="P115" s="684"/>
      <c r="Q115" s="684"/>
      <c r="R115" s="684"/>
      <c r="S115" s="684"/>
      <c r="T115" s="684"/>
      <c r="U115" s="684"/>
      <c r="V115" s="684"/>
      <c r="W115" s="684"/>
      <c r="X115" s="684"/>
      <c r="Y115" s="684"/>
      <c r="Z115" s="684"/>
      <c r="AA115" s="684"/>
      <c r="AB115" s="684"/>
      <c r="AC115" s="684"/>
      <c r="AD115" s="684"/>
      <c r="AE115" s="684"/>
      <c r="AF115" s="684"/>
      <c r="AG115" s="684"/>
      <c r="AH115" s="684"/>
      <c r="AI115" s="684"/>
      <c r="AJ115" s="684"/>
      <c r="AK115" s="684"/>
      <c r="AL115" s="684"/>
      <c r="AM115" s="684"/>
      <c r="AN115" s="684"/>
      <c r="AO115" s="684"/>
      <c r="AP115" s="684"/>
      <c r="AQ115" s="684"/>
      <c r="AR115" s="684"/>
      <c r="AS115" s="684"/>
      <c r="AT115" s="684"/>
      <c r="AU115" s="684"/>
      <c r="AV115" s="684"/>
      <c r="AW115" s="684"/>
      <c r="AX115" s="684"/>
      <c r="AY115" s="684"/>
      <c r="AZ115" s="684"/>
      <c r="BA115" s="684"/>
      <c r="BB115" s="684"/>
      <c r="BC115" s="684"/>
      <c r="BD115" s="684"/>
      <c r="BE115" s="684"/>
      <c r="BF115" s="684"/>
      <c r="BG115" s="684"/>
      <c r="BH115" s="684"/>
      <c r="BI115" s="684"/>
      <c r="BJ115" s="684"/>
      <c r="BK115" s="684"/>
      <c r="BL115" s="684"/>
      <c r="BM115" s="684"/>
      <c r="BN115" s="684"/>
      <c r="BO115" s="684"/>
      <c r="BP115" s="684"/>
      <c r="BQ115" s="684"/>
      <c r="BR115" s="684"/>
    </row>
    <row r="116" spans="2:70" ht="15" customHeight="1">
      <c r="C116" s="339"/>
      <c r="F116" s="678"/>
      <c r="G116" s="678"/>
      <c r="H116" s="684" t="s">
        <v>2954</v>
      </c>
      <c r="I116" s="684"/>
      <c r="J116" s="684"/>
      <c r="K116" s="684"/>
      <c r="L116" s="684"/>
      <c r="M116" s="684"/>
      <c r="N116" s="684"/>
      <c r="O116" s="684"/>
      <c r="P116" s="684"/>
      <c r="Q116" s="684"/>
      <c r="R116" s="684"/>
      <c r="S116" s="684"/>
      <c r="T116" s="684"/>
      <c r="U116" s="684"/>
      <c r="V116" s="684"/>
      <c r="W116" s="684"/>
      <c r="X116" s="684"/>
      <c r="Y116" s="684"/>
      <c r="Z116" s="684"/>
      <c r="AA116" s="684"/>
      <c r="AB116" s="684"/>
      <c r="AC116" s="684"/>
      <c r="AD116" s="684"/>
      <c r="AE116" s="684"/>
      <c r="AF116" s="684"/>
      <c r="AG116" s="684"/>
      <c r="AH116" s="684"/>
      <c r="AI116" s="684"/>
      <c r="AJ116" s="684"/>
      <c r="AK116" s="684"/>
      <c r="AL116" s="684"/>
      <c r="AM116" s="684"/>
      <c r="AN116" s="684"/>
      <c r="AO116" s="684"/>
      <c r="AP116" s="684"/>
      <c r="AQ116" s="684"/>
      <c r="AR116" s="684"/>
      <c r="AS116" s="684"/>
      <c r="AT116" s="684"/>
      <c r="AU116" s="684"/>
      <c r="AV116" s="684"/>
      <c r="AW116" s="684"/>
      <c r="AX116" s="684"/>
      <c r="AY116" s="684"/>
      <c r="AZ116" s="684"/>
      <c r="BA116" s="684"/>
      <c r="BB116" s="684"/>
      <c r="BC116" s="684"/>
      <c r="BD116" s="684"/>
      <c r="BE116" s="684"/>
      <c r="BF116" s="684"/>
      <c r="BG116" s="684"/>
      <c r="BH116" s="684"/>
      <c r="BI116" s="684"/>
      <c r="BJ116" s="684"/>
      <c r="BK116" s="684"/>
      <c r="BL116" s="684"/>
      <c r="BM116" s="684"/>
      <c r="BN116" s="684"/>
      <c r="BO116" s="684"/>
      <c r="BP116" s="684"/>
      <c r="BQ116" s="684"/>
      <c r="BR116" s="684"/>
    </row>
    <row r="117" spans="2:70" ht="15" customHeight="1">
      <c r="C117" s="339">
        <v>5</v>
      </c>
      <c r="F117" s="678">
        <v>5</v>
      </c>
      <c r="G117" s="678"/>
      <c r="H117" s="680" t="s">
        <v>2953</v>
      </c>
      <c r="I117" s="680"/>
      <c r="J117" s="680"/>
      <c r="K117" s="680"/>
      <c r="L117" s="680"/>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row>
    <row r="118" spans="2:70" ht="15" customHeight="1">
      <c r="C118" s="339">
        <v>6</v>
      </c>
      <c r="F118" s="678">
        <v>6</v>
      </c>
      <c r="G118" s="678"/>
      <c r="H118" s="680" t="s">
        <v>2952</v>
      </c>
      <c r="I118" s="680"/>
      <c r="J118" s="680"/>
      <c r="K118" s="680"/>
      <c r="L118" s="680"/>
      <c r="M118" s="680"/>
      <c r="N118" s="680"/>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0"/>
      <c r="AP118" s="680"/>
      <c r="AQ118" s="680"/>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row>
    <row r="120" spans="2:70" ht="9.75" customHeight="1">
      <c r="C120" s="339"/>
      <c r="F120" s="378"/>
      <c r="G120" s="378"/>
      <c r="H120" s="381"/>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row>
    <row r="121" spans="2:70">
      <c r="B121" s="359" t="s">
        <v>3014</v>
      </c>
      <c r="C121" s="359"/>
      <c r="D121" s="359"/>
      <c r="E121" s="359"/>
      <c r="F121" s="359"/>
      <c r="G121" s="359"/>
      <c r="H121" s="359"/>
      <c r="I121" s="359"/>
      <c r="J121" s="359"/>
      <c r="K121" s="359"/>
      <c r="L121" s="359"/>
      <c r="M121" s="359"/>
      <c r="N121" s="359"/>
      <c r="O121" s="359"/>
      <c r="P121" s="359"/>
      <c r="Q121" s="359"/>
      <c r="R121" s="359"/>
      <c r="S121" s="359"/>
      <c r="T121" s="359"/>
    </row>
    <row r="122" spans="2:70" ht="6" customHeight="1">
      <c r="AG122" s="613" t="s">
        <v>3168</v>
      </c>
      <c r="AH122" s="614"/>
      <c r="AI122" s="614"/>
      <c r="AJ122" s="614" t="s">
        <v>2999</v>
      </c>
      <c r="AK122" s="614"/>
      <c r="AL122" s="614"/>
      <c r="AM122" s="614"/>
      <c r="AN122" s="614"/>
      <c r="AO122" s="614"/>
      <c r="AP122" s="614"/>
      <c r="AQ122" s="614"/>
      <c r="AR122" s="614"/>
      <c r="AS122" s="614"/>
      <c r="AT122" s="614"/>
      <c r="AU122" s="614"/>
      <c r="AV122" s="614" t="s">
        <v>466</v>
      </c>
      <c r="AW122" s="614"/>
      <c r="AX122" s="619"/>
      <c r="AY122" s="619"/>
      <c r="AZ122" s="619"/>
      <c r="BA122" s="619"/>
      <c r="BB122" s="619"/>
      <c r="BC122" s="614" t="s">
        <v>464</v>
      </c>
      <c r="BD122" s="614"/>
      <c r="BE122" s="614"/>
      <c r="BF122" s="619"/>
      <c r="BG122" s="619"/>
      <c r="BH122" s="619"/>
      <c r="BI122" s="686" t="s">
        <v>1</v>
      </c>
      <c r="BJ122" s="614"/>
      <c r="BK122" s="614"/>
      <c r="BL122" s="619"/>
      <c r="BM122" s="619"/>
      <c r="BN122" s="619"/>
      <c r="BO122" s="686" t="s">
        <v>465</v>
      </c>
      <c r="BP122" s="614"/>
      <c r="BQ122" s="614"/>
      <c r="BR122" s="469"/>
    </row>
    <row r="123" spans="2:70" ht="6" customHeight="1">
      <c r="AG123" s="615"/>
      <c r="AH123" s="616"/>
      <c r="AI123" s="616"/>
      <c r="AJ123" s="616"/>
      <c r="AK123" s="616"/>
      <c r="AL123" s="616"/>
      <c r="AM123" s="616"/>
      <c r="AN123" s="616"/>
      <c r="AO123" s="616"/>
      <c r="AP123" s="616"/>
      <c r="AQ123" s="616"/>
      <c r="AR123" s="616"/>
      <c r="AS123" s="616"/>
      <c r="AT123" s="616"/>
      <c r="AU123" s="616"/>
      <c r="AV123" s="616"/>
      <c r="AW123" s="616"/>
      <c r="AX123" s="620"/>
      <c r="AY123" s="620"/>
      <c r="AZ123" s="620"/>
      <c r="BA123" s="620"/>
      <c r="BB123" s="620"/>
      <c r="BC123" s="616"/>
      <c r="BD123" s="616"/>
      <c r="BE123" s="616"/>
      <c r="BF123" s="620"/>
      <c r="BG123" s="620"/>
      <c r="BH123" s="620"/>
      <c r="BI123" s="616"/>
      <c r="BJ123" s="616"/>
      <c r="BK123" s="616"/>
      <c r="BL123" s="620"/>
      <c r="BM123" s="620"/>
      <c r="BN123" s="620"/>
      <c r="BO123" s="616"/>
      <c r="BP123" s="616"/>
      <c r="BQ123" s="616"/>
      <c r="BR123" s="470"/>
    </row>
    <row r="124" spans="2:70" ht="6" customHeight="1">
      <c r="O124" s="341"/>
      <c r="P124" s="341"/>
      <c r="AG124" s="617"/>
      <c r="AH124" s="618"/>
      <c r="AI124" s="618"/>
      <c r="AJ124" s="618"/>
      <c r="AK124" s="618"/>
      <c r="AL124" s="618"/>
      <c r="AM124" s="618"/>
      <c r="AN124" s="618"/>
      <c r="AO124" s="618"/>
      <c r="AP124" s="618"/>
      <c r="AQ124" s="618"/>
      <c r="AR124" s="618"/>
      <c r="AS124" s="618"/>
      <c r="AT124" s="618"/>
      <c r="AU124" s="618"/>
      <c r="AV124" s="618"/>
      <c r="AW124" s="618"/>
      <c r="AX124" s="621"/>
      <c r="AY124" s="621"/>
      <c r="AZ124" s="621"/>
      <c r="BA124" s="621"/>
      <c r="BB124" s="621"/>
      <c r="BC124" s="618"/>
      <c r="BD124" s="618"/>
      <c r="BE124" s="618"/>
      <c r="BF124" s="621"/>
      <c r="BG124" s="621"/>
      <c r="BH124" s="621"/>
      <c r="BI124" s="618"/>
      <c r="BJ124" s="618"/>
      <c r="BK124" s="618"/>
      <c r="BL124" s="621"/>
      <c r="BM124" s="621"/>
      <c r="BN124" s="621"/>
      <c r="BO124" s="618"/>
      <c r="BP124" s="618"/>
      <c r="BQ124" s="618"/>
      <c r="BR124" s="471"/>
    </row>
    <row r="125" spans="2:70" ht="6" customHeight="1">
      <c r="B125" s="681" t="s">
        <v>3013</v>
      </c>
      <c r="C125" s="682"/>
      <c r="D125" s="682"/>
      <c r="E125" s="682"/>
      <c r="F125" s="682"/>
      <c r="G125" s="682"/>
      <c r="H125" s="682"/>
      <c r="I125" s="682"/>
      <c r="J125" s="682"/>
      <c r="K125" s="682"/>
      <c r="L125" s="682"/>
      <c r="M125" s="682"/>
      <c r="N125" s="682"/>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3"/>
    </row>
    <row r="126" spans="2:70" ht="6" customHeight="1">
      <c r="B126" s="635"/>
      <c r="C126" s="636"/>
      <c r="D126" s="636"/>
      <c r="E126" s="636"/>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636"/>
      <c r="AN126" s="636"/>
      <c r="AO126" s="636"/>
      <c r="AP126" s="636"/>
      <c r="AQ126" s="636"/>
      <c r="AR126" s="636"/>
      <c r="AS126" s="636"/>
      <c r="AT126" s="636"/>
      <c r="AU126" s="636"/>
      <c r="AV126" s="636"/>
      <c r="AW126" s="636"/>
      <c r="AX126" s="636"/>
      <c r="AY126" s="636"/>
      <c r="AZ126" s="636"/>
      <c r="BA126" s="636"/>
      <c r="BB126" s="636"/>
      <c r="BC126" s="636"/>
      <c r="BD126" s="636"/>
      <c r="BE126" s="636"/>
      <c r="BF126" s="636"/>
      <c r="BG126" s="636"/>
      <c r="BH126" s="636"/>
      <c r="BI126" s="636"/>
      <c r="BJ126" s="636"/>
      <c r="BK126" s="636"/>
      <c r="BL126" s="636"/>
      <c r="BM126" s="636"/>
      <c r="BN126" s="636"/>
      <c r="BO126" s="636"/>
      <c r="BP126" s="636"/>
      <c r="BQ126" s="636"/>
      <c r="BR126" s="637"/>
    </row>
    <row r="127" spans="2:70" ht="6" customHeight="1">
      <c r="B127" s="635"/>
      <c r="C127" s="636"/>
      <c r="D127" s="636"/>
      <c r="E127" s="636"/>
      <c r="F127" s="636"/>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c r="AK127" s="636"/>
      <c r="AL127" s="636"/>
      <c r="AM127" s="636"/>
      <c r="AN127" s="636"/>
      <c r="AO127" s="636"/>
      <c r="AP127" s="636"/>
      <c r="AQ127" s="636"/>
      <c r="AR127" s="636"/>
      <c r="AS127" s="636"/>
      <c r="AT127" s="636"/>
      <c r="AU127" s="636"/>
      <c r="AV127" s="636"/>
      <c r="AW127" s="636"/>
      <c r="AX127" s="636"/>
      <c r="AY127" s="636"/>
      <c r="AZ127" s="636"/>
      <c r="BA127" s="636"/>
      <c r="BB127" s="636"/>
      <c r="BC127" s="636"/>
      <c r="BD127" s="636"/>
      <c r="BE127" s="636"/>
      <c r="BF127" s="636"/>
      <c r="BG127" s="636"/>
      <c r="BH127" s="636"/>
      <c r="BI127" s="636"/>
      <c r="BJ127" s="636"/>
      <c r="BK127" s="636"/>
      <c r="BL127" s="636"/>
      <c r="BM127" s="636"/>
      <c r="BN127" s="636"/>
      <c r="BO127" s="636"/>
      <c r="BP127" s="636"/>
      <c r="BQ127" s="636"/>
      <c r="BR127" s="637"/>
    </row>
    <row r="128" spans="2:70" ht="6" customHeight="1">
      <c r="B128" s="635"/>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6"/>
      <c r="AY128" s="636"/>
      <c r="AZ128" s="636"/>
      <c r="BA128" s="636"/>
      <c r="BB128" s="636"/>
      <c r="BC128" s="636"/>
      <c r="BD128" s="636"/>
      <c r="BE128" s="636"/>
      <c r="BF128" s="636"/>
      <c r="BG128" s="636"/>
      <c r="BH128" s="636"/>
      <c r="BI128" s="636"/>
      <c r="BJ128" s="636"/>
      <c r="BK128" s="636"/>
      <c r="BL128" s="636"/>
      <c r="BM128" s="636"/>
      <c r="BN128" s="636"/>
      <c r="BO128" s="636"/>
      <c r="BP128" s="636"/>
      <c r="BQ128" s="636"/>
      <c r="BR128" s="637"/>
    </row>
    <row r="129" spans="2:70" ht="6" customHeight="1">
      <c r="B129" s="348"/>
      <c r="K129" s="377"/>
      <c r="L129" s="347"/>
      <c r="S129" s="661" t="s">
        <v>3012</v>
      </c>
      <c r="T129" s="661"/>
      <c r="U129" s="661"/>
      <c r="V129" s="661"/>
      <c r="W129" s="661"/>
      <c r="X129" s="661"/>
      <c r="Y129" s="661"/>
      <c r="Z129" s="661"/>
      <c r="AA129" s="661"/>
      <c r="AB129" s="378"/>
      <c r="AC129" s="378"/>
      <c r="AD129" s="378"/>
      <c r="AE129" s="378"/>
      <c r="BR129" s="345"/>
    </row>
    <row r="130" spans="2:70" ht="6" customHeight="1">
      <c r="B130" s="348"/>
      <c r="D130" s="378"/>
      <c r="E130" s="378"/>
      <c r="F130" s="661" t="s">
        <v>3011</v>
      </c>
      <c r="G130" s="661"/>
      <c r="H130" s="661"/>
      <c r="I130" s="661"/>
      <c r="J130" s="661"/>
      <c r="K130" s="661"/>
      <c r="L130" s="661"/>
      <c r="M130" s="661"/>
      <c r="N130" s="661"/>
      <c r="O130" s="661"/>
      <c r="P130" s="661"/>
      <c r="Q130" s="661"/>
      <c r="R130" s="379"/>
      <c r="S130" s="661"/>
      <c r="T130" s="661"/>
      <c r="U130" s="661"/>
      <c r="V130" s="661"/>
      <c r="W130" s="661"/>
      <c r="X130" s="661"/>
      <c r="Y130" s="661"/>
      <c r="Z130" s="661"/>
      <c r="AA130" s="661"/>
      <c r="AB130" s="378"/>
      <c r="AC130" s="661" t="s">
        <v>3010</v>
      </c>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1"/>
      <c r="AY130" s="661"/>
      <c r="AZ130" s="661"/>
      <c r="BA130" s="661"/>
      <c r="BB130" s="661"/>
      <c r="BC130" s="661"/>
      <c r="BD130" s="661"/>
      <c r="BE130" s="661"/>
      <c r="BF130" s="661"/>
      <c r="BG130" s="661"/>
      <c r="BH130" s="661"/>
      <c r="BI130" s="661"/>
      <c r="BJ130" s="661"/>
      <c r="BK130" s="661"/>
      <c r="BL130" s="661"/>
      <c r="BM130" s="661"/>
      <c r="BN130" s="661"/>
      <c r="BO130" s="661"/>
      <c r="BP130" s="661"/>
      <c r="BQ130" s="661"/>
      <c r="BR130" s="345"/>
    </row>
    <row r="131" spans="2:70" ht="6" customHeight="1">
      <c r="B131" s="348"/>
      <c r="C131" s="378"/>
      <c r="D131" s="378"/>
      <c r="E131" s="378"/>
      <c r="F131" s="661"/>
      <c r="G131" s="661"/>
      <c r="H131" s="661"/>
      <c r="I131" s="661"/>
      <c r="J131" s="661"/>
      <c r="K131" s="661"/>
      <c r="L131" s="661"/>
      <c r="M131" s="661"/>
      <c r="N131" s="661"/>
      <c r="O131" s="661"/>
      <c r="P131" s="661"/>
      <c r="Q131" s="661"/>
      <c r="R131" s="379"/>
      <c r="S131" s="685" t="s">
        <v>3009</v>
      </c>
      <c r="T131" s="685"/>
      <c r="U131" s="685"/>
      <c r="V131" s="685"/>
      <c r="W131" s="685"/>
      <c r="X131" s="685"/>
      <c r="Y131" s="685"/>
      <c r="Z131" s="685"/>
      <c r="AA131" s="685"/>
      <c r="AB131" s="378"/>
      <c r="AC131" s="661"/>
      <c r="AD131" s="661"/>
      <c r="AE131" s="661"/>
      <c r="AF131" s="661"/>
      <c r="AG131" s="661"/>
      <c r="AH131" s="661"/>
      <c r="AI131" s="661"/>
      <c r="AJ131" s="661"/>
      <c r="AK131" s="661"/>
      <c r="AL131" s="661"/>
      <c r="AM131" s="661"/>
      <c r="AN131" s="661"/>
      <c r="AO131" s="661"/>
      <c r="AP131" s="661"/>
      <c r="AQ131" s="661"/>
      <c r="AR131" s="661"/>
      <c r="AS131" s="661"/>
      <c r="AT131" s="661"/>
      <c r="AU131" s="661"/>
      <c r="AV131" s="661"/>
      <c r="AW131" s="661"/>
      <c r="AX131" s="661"/>
      <c r="AY131" s="661"/>
      <c r="AZ131" s="661"/>
      <c r="BA131" s="661"/>
      <c r="BB131" s="661"/>
      <c r="BC131" s="661"/>
      <c r="BD131" s="661"/>
      <c r="BE131" s="661"/>
      <c r="BF131" s="661"/>
      <c r="BG131" s="661"/>
      <c r="BH131" s="661"/>
      <c r="BI131" s="661"/>
      <c r="BJ131" s="661"/>
      <c r="BK131" s="661"/>
      <c r="BL131" s="661"/>
      <c r="BM131" s="661"/>
      <c r="BN131" s="661"/>
      <c r="BO131" s="661"/>
      <c r="BP131" s="661"/>
      <c r="BQ131" s="661"/>
      <c r="BR131" s="345"/>
    </row>
    <row r="132" spans="2:70" ht="6" customHeight="1">
      <c r="B132" s="348"/>
      <c r="K132" s="377"/>
      <c r="S132" s="685"/>
      <c r="T132" s="685"/>
      <c r="U132" s="685"/>
      <c r="V132" s="685"/>
      <c r="W132" s="685"/>
      <c r="X132" s="685"/>
      <c r="Y132" s="685"/>
      <c r="Z132" s="685"/>
      <c r="AA132" s="685"/>
      <c r="AB132" s="378"/>
      <c r="AC132" s="378"/>
      <c r="AD132" s="378"/>
      <c r="AE132" s="378"/>
      <c r="BR132" s="345"/>
    </row>
    <row r="133" spans="2:70" ht="6" customHeight="1">
      <c r="B133" s="348"/>
      <c r="D133" s="376"/>
      <c r="E133" s="376"/>
      <c r="F133" s="376"/>
      <c r="G133" s="376"/>
      <c r="H133" s="377"/>
      <c r="I133" s="377"/>
      <c r="J133" s="377"/>
      <c r="K133" s="377"/>
      <c r="AI133" s="687" t="str">
        <f ca="1">cst_Pre_Corp__SHINSEI</f>
        <v>一般財団法人静岡県建築住宅まちづくりセンター</v>
      </c>
      <c r="AJ133" s="687"/>
      <c r="AK133" s="687"/>
      <c r="AL133" s="687"/>
      <c r="AM133" s="687"/>
      <c r="AN133" s="687"/>
      <c r="AO133" s="687"/>
      <c r="AP133" s="687"/>
      <c r="AQ133" s="687"/>
      <c r="AR133" s="687"/>
      <c r="AS133" s="687"/>
      <c r="AT133" s="687"/>
      <c r="AU133" s="687"/>
      <c r="AV133" s="687"/>
      <c r="AW133" s="687"/>
      <c r="AX133" s="687"/>
      <c r="AY133" s="687"/>
      <c r="AZ133" s="687"/>
      <c r="BA133" s="687"/>
      <c r="BB133" s="687"/>
      <c r="BC133" s="687"/>
      <c r="BD133" s="687"/>
      <c r="BE133" s="687"/>
      <c r="BF133" s="687"/>
      <c r="BG133" s="687"/>
      <c r="BH133" s="687"/>
      <c r="BI133" s="687"/>
      <c r="BJ133" s="687"/>
      <c r="BK133" s="687"/>
      <c r="BL133" s="687"/>
      <c r="BM133" s="687"/>
      <c r="BN133" s="687"/>
      <c r="BR133" s="345"/>
    </row>
    <row r="134" spans="2:70" ht="6" customHeight="1">
      <c r="B134" s="348"/>
      <c r="C134" s="376"/>
      <c r="D134" s="376"/>
      <c r="E134" s="376"/>
      <c r="F134" s="376"/>
      <c r="G134" s="376"/>
      <c r="H134" s="377"/>
      <c r="I134" s="377"/>
      <c r="J134" s="377"/>
      <c r="K134" s="377"/>
      <c r="AI134" s="687"/>
      <c r="AJ134" s="687"/>
      <c r="AK134" s="687"/>
      <c r="AL134" s="687"/>
      <c r="AM134" s="687"/>
      <c r="AN134" s="687"/>
      <c r="AO134" s="687"/>
      <c r="AP134" s="687"/>
      <c r="AQ134" s="687"/>
      <c r="AR134" s="687"/>
      <c r="AS134" s="687"/>
      <c r="AT134" s="687"/>
      <c r="AU134" s="687"/>
      <c r="AV134" s="687"/>
      <c r="AW134" s="687"/>
      <c r="AX134" s="687"/>
      <c r="AY134" s="687"/>
      <c r="AZ134" s="687"/>
      <c r="BA134" s="687"/>
      <c r="BB134" s="687"/>
      <c r="BC134" s="687"/>
      <c r="BD134" s="687"/>
      <c r="BE134" s="687"/>
      <c r="BF134" s="687"/>
      <c r="BG134" s="687"/>
      <c r="BH134" s="687"/>
      <c r="BI134" s="687"/>
      <c r="BJ134" s="687"/>
      <c r="BK134" s="687"/>
      <c r="BL134" s="687"/>
      <c r="BM134" s="687"/>
      <c r="BN134" s="687"/>
      <c r="BR134" s="345"/>
    </row>
    <row r="135" spans="2:70" ht="6" customHeight="1">
      <c r="B135" s="348"/>
      <c r="C135" s="376"/>
      <c r="D135" s="376"/>
      <c r="E135" s="630" t="s">
        <v>3008</v>
      </c>
      <c r="F135" s="630"/>
      <c r="G135" s="630"/>
      <c r="H135" s="630"/>
      <c r="I135" s="630"/>
      <c r="J135" s="630"/>
      <c r="K135" s="630"/>
      <c r="L135" s="360"/>
      <c r="M135" s="616" t="s">
        <v>2796</v>
      </c>
      <c r="N135" s="616"/>
      <c r="AP135" s="352"/>
      <c r="AQ135" s="352"/>
      <c r="AR135" s="688" t="str">
        <f ca="1">cst_Pre_Daihyou__SHINSEI</f>
        <v>理事長 　柳　敏幸</v>
      </c>
      <c r="AS135" s="688"/>
      <c r="AT135" s="688"/>
      <c r="AU135" s="688"/>
      <c r="AV135" s="688"/>
      <c r="AW135" s="688"/>
      <c r="AX135" s="688"/>
      <c r="AY135" s="688"/>
      <c r="AZ135" s="688"/>
      <c r="BA135" s="688"/>
      <c r="BB135" s="688"/>
      <c r="BC135" s="688"/>
      <c r="BD135" s="688"/>
      <c r="BE135" s="688"/>
      <c r="BF135" s="688"/>
      <c r="BG135" s="688"/>
      <c r="BH135" s="688"/>
      <c r="BI135" s="688"/>
      <c r="BJ135" s="688"/>
      <c r="BK135" s="688"/>
      <c r="BL135" s="688"/>
      <c r="BM135" s="688"/>
      <c r="BO135" s="349"/>
      <c r="BP135" s="349"/>
      <c r="BQ135" s="349"/>
      <c r="BR135" s="345"/>
    </row>
    <row r="136" spans="2:70" ht="6" customHeight="1">
      <c r="B136" s="348"/>
      <c r="E136" s="630"/>
      <c r="F136" s="630"/>
      <c r="G136" s="630"/>
      <c r="H136" s="630"/>
      <c r="I136" s="630"/>
      <c r="J136" s="630"/>
      <c r="K136" s="630"/>
      <c r="L136" s="360"/>
      <c r="M136" s="616"/>
      <c r="N136" s="616"/>
      <c r="AP136" s="352"/>
      <c r="AQ136" s="352"/>
      <c r="AR136" s="688"/>
      <c r="AS136" s="688"/>
      <c r="AT136" s="688"/>
      <c r="AU136" s="688"/>
      <c r="AV136" s="688"/>
      <c r="AW136" s="688"/>
      <c r="AX136" s="688"/>
      <c r="AY136" s="688"/>
      <c r="AZ136" s="688"/>
      <c r="BA136" s="688"/>
      <c r="BB136" s="688"/>
      <c r="BC136" s="688"/>
      <c r="BD136" s="688"/>
      <c r="BE136" s="688"/>
      <c r="BF136" s="688"/>
      <c r="BG136" s="688"/>
      <c r="BH136" s="688"/>
      <c r="BI136" s="688"/>
      <c r="BJ136" s="688"/>
      <c r="BK136" s="688"/>
      <c r="BL136" s="688"/>
      <c r="BM136" s="688"/>
      <c r="BO136" s="349"/>
      <c r="BP136" s="349"/>
      <c r="BQ136" s="349"/>
      <c r="BR136" s="345"/>
    </row>
    <row r="137" spans="2:70" ht="6" customHeight="1">
      <c r="B137" s="348"/>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N137" s="341"/>
      <c r="AO137" s="341"/>
      <c r="AP137" s="341"/>
      <c r="AQ137" s="341"/>
      <c r="AR137" s="341"/>
      <c r="AS137" s="341"/>
      <c r="AT137" s="341"/>
      <c r="AU137" s="341"/>
      <c r="AV137" s="341"/>
      <c r="AW137" s="341"/>
      <c r="AX137" s="341"/>
      <c r="AY137" s="341"/>
      <c r="AZ137" s="341"/>
      <c r="BA137" s="341"/>
      <c r="BB137" s="341"/>
      <c r="BC137" s="341"/>
      <c r="BD137" s="341"/>
      <c r="BE137" s="341"/>
      <c r="BF137" s="341"/>
      <c r="BG137" s="341"/>
      <c r="BH137" s="341"/>
      <c r="BI137" s="341"/>
      <c r="BJ137" s="341"/>
      <c r="BK137" s="341"/>
      <c r="BL137" s="341"/>
      <c r="BM137" s="341"/>
      <c r="BN137" s="341"/>
      <c r="BO137" s="341"/>
      <c r="BP137" s="341"/>
      <c r="BQ137" s="341"/>
      <c r="BR137" s="340"/>
    </row>
    <row r="138" spans="2:70" ht="6" customHeight="1">
      <c r="B138" s="613" t="s">
        <v>3007</v>
      </c>
      <c r="C138" s="614"/>
      <c r="D138" s="360"/>
      <c r="E138" s="638" t="s">
        <v>3006</v>
      </c>
      <c r="F138" s="638"/>
      <c r="G138" s="638"/>
      <c r="H138" s="638"/>
      <c r="I138" s="638"/>
      <c r="J138" s="638"/>
      <c r="K138" s="638"/>
      <c r="L138" s="638"/>
      <c r="M138" s="638"/>
      <c r="N138" s="638"/>
      <c r="O138" s="638"/>
      <c r="P138" s="638"/>
      <c r="Q138" s="638"/>
      <c r="R138" s="638"/>
      <c r="S138" s="345"/>
      <c r="AB138" s="610"/>
      <c r="AC138" s="610"/>
      <c r="AD138" s="610"/>
      <c r="AE138" s="610"/>
      <c r="AF138" s="610"/>
      <c r="AG138" s="640" t="s">
        <v>464</v>
      </c>
      <c r="AH138" s="640"/>
      <c r="AI138" s="640"/>
      <c r="AK138" s="610"/>
      <c r="AL138" s="610"/>
      <c r="AM138" s="610"/>
      <c r="AN138" s="610"/>
      <c r="AO138" s="610"/>
      <c r="AP138" s="640" t="s">
        <v>1</v>
      </c>
      <c r="AQ138" s="640"/>
      <c r="AR138" s="640"/>
      <c r="AT138" s="610"/>
      <c r="AU138" s="610"/>
      <c r="AV138" s="610"/>
      <c r="AW138" s="610"/>
      <c r="AX138" s="610"/>
      <c r="AY138" s="640" t="s">
        <v>465</v>
      </c>
      <c r="AZ138" s="640"/>
      <c r="BA138" s="640"/>
      <c r="BR138" s="345"/>
    </row>
    <row r="139" spans="2:70" ht="6" customHeight="1">
      <c r="B139" s="615"/>
      <c r="C139" s="616"/>
      <c r="D139" s="360"/>
      <c r="E139" s="638"/>
      <c r="F139" s="638"/>
      <c r="G139" s="638"/>
      <c r="H139" s="638"/>
      <c r="I139" s="638"/>
      <c r="J139" s="638"/>
      <c r="K139" s="638"/>
      <c r="L139" s="638"/>
      <c r="M139" s="638"/>
      <c r="N139" s="638"/>
      <c r="O139" s="638"/>
      <c r="P139" s="638"/>
      <c r="Q139" s="638"/>
      <c r="R139" s="638"/>
      <c r="S139" s="345"/>
      <c r="AB139" s="611"/>
      <c r="AC139" s="611"/>
      <c r="AD139" s="611"/>
      <c r="AE139" s="611"/>
      <c r="AF139" s="611"/>
      <c r="AG139" s="640"/>
      <c r="AH139" s="640"/>
      <c r="AI139" s="640"/>
      <c r="AK139" s="611"/>
      <c r="AL139" s="611"/>
      <c r="AM139" s="611"/>
      <c r="AN139" s="611"/>
      <c r="AO139" s="611"/>
      <c r="AP139" s="640"/>
      <c r="AQ139" s="640"/>
      <c r="AR139" s="640"/>
      <c r="AT139" s="611"/>
      <c r="AU139" s="611"/>
      <c r="AV139" s="611"/>
      <c r="AW139" s="611"/>
      <c r="AX139" s="611"/>
      <c r="AY139" s="640"/>
      <c r="AZ139" s="640"/>
      <c r="BA139" s="640"/>
      <c r="BR139" s="345"/>
    </row>
    <row r="140" spans="2:70" ht="6" customHeight="1">
      <c r="B140" s="617"/>
      <c r="C140" s="618"/>
      <c r="D140" s="375"/>
      <c r="E140" s="639"/>
      <c r="F140" s="639"/>
      <c r="G140" s="639"/>
      <c r="H140" s="639"/>
      <c r="I140" s="639"/>
      <c r="J140" s="639"/>
      <c r="K140" s="639"/>
      <c r="L140" s="639"/>
      <c r="M140" s="639"/>
      <c r="N140" s="639"/>
      <c r="O140" s="639"/>
      <c r="P140" s="639"/>
      <c r="Q140" s="639"/>
      <c r="R140" s="639"/>
      <c r="S140" s="340"/>
      <c r="T140" s="341"/>
      <c r="U140" s="341"/>
      <c r="V140" s="341"/>
      <c r="W140" s="341"/>
      <c r="X140" s="341"/>
      <c r="Y140" s="341"/>
      <c r="Z140" s="341"/>
      <c r="AA140" s="341"/>
      <c r="AB140" s="612"/>
      <c r="AC140" s="612"/>
      <c r="AD140" s="612"/>
      <c r="AE140" s="612"/>
      <c r="AF140" s="612"/>
      <c r="AG140" s="641"/>
      <c r="AH140" s="641"/>
      <c r="AI140" s="641"/>
      <c r="AJ140" s="341"/>
      <c r="AK140" s="612"/>
      <c r="AL140" s="612"/>
      <c r="AM140" s="612"/>
      <c r="AN140" s="612"/>
      <c r="AO140" s="612"/>
      <c r="AP140" s="641"/>
      <c r="AQ140" s="641"/>
      <c r="AR140" s="641"/>
      <c r="AS140" s="341"/>
      <c r="AT140" s="612"/>
      <c r="AU140" s="612"/>
      <c r="AV140" s="612"/>
      <c r="AW140" s="612"/>
      <c r="AX140" s="612"/>
      <c r="AY140" s="641"/>
      <c r="AZ140" s="641"/>
      <c r="BA140" s="641"/>
      <c r="BB140" s="341"/>
      <c r="BC140" s="341"/>
      <c r="BD140" s="341"/>
      <c r="BE140" s="341"/>
      <c r="BF140" s="341"/>
      <c r="BG140" s="341"/>
      <c r="BH140" s="341"/>
      <c r="BI140" s="341"/>
      <c r="BJ140" s="341"/>
      <c r="BK140" s="341"/>
      <c r="BL140" s="341"/>
      <c r="BM140" s="341"/>
      <c r="BN140" s="341"/>
      <c r="BO140" s="341"/>
      <c r="BP140" s="341"/>
      <c r="BQ140" s="341"/>
      <c r="BR140" s="340"/>
    </row>
    <row r="141" spans="2:70" ht="6" customHeight="1">
      <c r="B141" s="348"/>
      <c r="C141" s="339"/>
      <c r="D141" s="339"/>
      <c r="E141" s="339"/>
      <c r="F141" s="339"/>
      <c r="G141" s="339"/>
      <c r="H141" s="339"/>
      <c r="I141" s="339"/>
      <c r="J141" s="339"/>
      <c r="K141" s="339"/>
      <c r="L141" s="339"/>
      <c r="M141" s="339"/>
      <c r="N141" s="339"/>
      <c r="O141" s="339"/>
      <c r="P141" s="339"/>
      <c r="Q141" s="339"/>
      <c r="R141" s="339"/>
      <c r="S141" s="345"/>
      <c r="BR141" s="345"/>
    </row>
    <row r="142" spans="2:70" ht="6" customHeight="1">
      <c r="B142" s="348"/>
      <c r="C142" s="339"/>
      <c r="D142" s="339"/>
      <c r="E142" s="339"/>
      <c r="F142" s="339"/>
      <c r="G142" s="339"/>
      <c r="H142" s="339"/>
      <c r="I142" s="339"/>
      <c r="J142" s="339"/>
      <c r="K142" s="339"/>
      <c r="L142" s="339"/>
      <c r="M142" s="339"/>
      <c r="N142" s="339"/>
      <c r="O142" s="339"/>
      <c r="P142" s="339"/>
      <c r="Q142" s="339"/>
      <c r="R142" s="339"/>
      <c r="S142" s="345"/>
      <c r="U142" s="644" t="str">
        <f>U20</f>
        <v>静岡県静岡市葵区新伝馬二丁目8-41-101</v>
      </c>
      <c r="V142" s="644"/>
      <c r="W142" s="644"/>
      <c r="X142" s="644"/>
      <c r="Y142" s="644"/>
      <c r="Z142" s="644"/>
      <c r="AA142" s="644"/>
      <c r="AB142" s="644"/>
      <c r="AC142" s="644"/>
      <c r="AD142" s="644"/>
      <c r="AE142" s="644"/>
      <c r="AF142" s="644"/>
      <c r="AG142" s="644"/>
      <c r="AH142" s="644"/>
      <c r="AI142" s="644"/>
      <c r="AJ142" s="644"/>
      <c r="AK142" s="644"/>
      <c r="AL142" s="644"/>
      <c r="AM142" s="644"/>
      <c r="AN142" s="644"/>
      <c r="AO142" s="644"/>
      <c r="AP142" s="644"/>
      <c r="AQ142" s="644"/>
      <c r="AR142" s="644"/>
      <c r="AS142" s="644"/>
      <c r="AT142" s="644"/>
      <c r="AU142" s="644"/>
      <c r="AV142" s="644"/>
      <c r="AW142" s="644"/>
      <c r="AX142" s="644"/>
      <c r="AY142" s="644"/>
      <c r="AZ142" s="644"/>
      <c r="BA142" s="644"/>
      <c r="BB142" s="644"/>
      <c r="BC142" s="644"/>
      <c r="BD142" s="644"/>
      <c r="BE142" s="644"/>
      <c r="BF142" s="644"/>
      <c r="BG142" s="644"/>
      <c r="BH142" s="644"/>
      <c r="BI142" s="644"/>
      <c r="BJ142" s="644"/>
      <c r="BK142" s="644"/>
      <c r="BL142" s="644"/>
      <c r="BM142" s="644"/>
      <c r="BN142" s="644"/>
      <c r="BO142" s="644"/>
      <c r="BP142" s="644"/>
      <c r="BQ142" s="644"/>
      <c r="BR142" s="345"/>
    </row>
    <row r="143" spans="2:70" ht="6" customHeight="1">
      <c r="B143" s="645">
        <v>1</v>
      </c>
      <c r="C143" s="640"/>
      <c r="D143" s="360"/>
      <c r="E143" s="643" t="s">
        <v>3005</v>
      </c>
      <c r="F143" s="643"/>
      <c r="G143" s="643"/>
      <c r="H143" s="643"/>
      <c r="I143" s="643"/>
      <c r="J143" s="643"/>
      <c r="K143" s="643"/>
      <c r="L143" s="643"/>
      <c r="M143" s="643"/>
      <c r="N143" s="643"/>
      <c r="O143" s="643"/>
      <c r="P143" s="643"/>
      <c r="Q143" s="643"/>
      <c r="R143" s="643"/>
      <c r="S143" s="646"/>
      <c r="U143" s="644"/>
      <c r="V143" s="644"/>
      <c r="W143" s="644"/>
      <c r="X143" s="644"/>
      <c r="Y143" s="644"/>
      <c r="Z143" s="644"/>
      <c r="AA143" s="644"/>
      <c r="AB143" s="644"/>
      <c r="AC143" s="644"/>
      <c r="AD143" s="644"/>
      <c r="AE143" s="644"/>
      <c r="AF143" s="644"/>
      <c r="AG143" s="644"/>
      <c r="AH143" s="644"/>
      <c r="AI143" s="644"/>
      <c r="AJ143" s="644"/>
      <c r="AK143" s="644"/>
      <c r="AL143" s="644"/>
      <c r="AM143" s="644"/>
      <c r="AN143" s="644"/>
      <c r="AO143" s="644"/>
      <c r="AP143" s="644"/>
      <c r="AQ143" s="644"/>
      <c r="AR143" s="644"/>
      <c r="AS143" s="644"/>
      <c r="AT143" s="644"/>
      <c r="AU143" s="644"/>
      <c r="AV143" s="644"/>
      <c r="AW143" s="644"/>
      <c r="AX143" s="644"/>
      <c r="AY143" s="644"/>
      <c r="AZ143" s="644"/>
      <c r="BA143" s="644"/>
      <c r="BB143" s="644"/>
      <c r="BC143" s="644"/>
      <c r="BD143" s="644"/>
      <c r="BE143" s="644"/>
      <c r="BF143" s="644"/>
      <c r="BG143" s="644"/>
      <c r="BH143" s="644"/>
      <c r="BI143" s="644"/>
      <c r="BJ143" s="644"/>
      <c r="BK143" s="644"/>
      <c r="BL143" s="644"/>
      <c r="BM143" s="644"/>
      <c r="BN143" s="644"/>
      <c r="BO143" s="644"/>
      <c r="BP143" s="644"/>
      <c r="BQ143" s="644"/>
      <c r="BR143" s="345"/>
    </row>
    <row r="144" spans="2:70" ht="6" customHeight="1">
      <c r="B144" s="645"/>
      <c r="C144" s="640"/>
      <c r="D144" s="360"/>
      <c r="E144" s="643"/>
      <c r="F144" s="643"/>
      <c r="G144" s="643"/>
      <c r="H144" s="643"/>
      <c r="I144" s="643"/>
      <c r="J144" s="643"/>
      <c r="K144" s="643"/>
      <c r="L144" s="643"/>
      <c r="M144" s="643"/>
      <c r="N144" s="643"/>
      <c r="O144" s="643"/>
      <c r="P144" s="643"/>
      <c r="Q144" s="643"/>
      <c r="R144" s="643"/>
      <c r="S144" s="646"/>
      <c r="U144" s="644"/>
      <c r="V144" s="644"/>
      <c r="W144" s="644"/>
      <c r="X144" s="644"/>
      <c r="Y144" s="644"/>
      <c r="Z144" s="644"/>
      <c r="AA144" s="644"/>
      <c r="AB144" s="644"/>
      <c r="AC144" s="644"/>
      <c r="AD144" s="644"/>
      <c r="AE144" s="644"/>
      <c r="AF144" s="644"/>
      <c r="AG144" s="644"/>
      <c r="AH144" s="644"/>
      <c r="AI144" s="644"/>
      <c r="AJ144" s="644"/>
      <c r="AK144" s="644"/>
      <c r="AL144" s="644"/>
      <c r="AM144" s="644"/>
      <c r="AN144" s="644"/>
      <c r="AO144" s="644"/>
      <c r="AP144" s="644"/>
      <c r="AQ144" s="644"/>
      <c r="AR144" s="644"/>
      <c r="AS144" s="644"/>
      <c r="AT144" s="644"/>
      <c r="AU144" s="644"/>
      <c r="AV144" s="644"/>
      <c r="AW144" s="644"/>
      <c r="AX144" s="644"/>
      <c r="AY144" s="644"/>
      <c r="AZ144" s="644"/>
      <c r="BA144" s="644"/>
      <c r="BB144" s="644"/>
      <c r="BC144" s="644"/>
      <c r="BD144" s="644"/>
      <c r="BE144" s="644"/>
      <c r="BF144" s="644"/>
      <c r="BG144" s="644"/>
      <c r="BH144" s="644"/>
      <c r="BI144" s="644"/>
      <c r="BJ144" s="644"/>
      <c r="BK144" s="644"/>
      <c r="BL144" s="644"/>
      <c r="BM144" s="644"/>
      <c r="BN144" s="644"/>
      <c r="BO144" s="644"/>
      <c r="BP144" s="644"/>
      <c r="BQ144" s="644"/>
      <c r="BR144" s="345"/>
    </row>
    <row r="145" spans="2:70" ht="6" customHeight="1">
      <c r="B145" s="645"/>
      <c r="C145" s="640"/>
      <c r="D145" s="360"/>
      <c r="E145" s="643"/>
      <c r="F145" s="643"/>
      <c r="G145" s="643"/>
      <c r="H145" s="643"/>
      <c r="I145" s="643"/>
      <c r="J145" s="643"/>
      <c r="K145" s="643"/>
      <c r="L145" s="643"/>
      <c r="M145" s="643"/>
      <c r="N145" s="643"/>
      <c r="O145" s="643"/>
      <c r="P145" s="643"/>
      <c r="Q145" s="643"/>
      <c r="R145" s="643"/>
      <c r="S145" s="646"/>
      <c r="BR145" s="345"/>
    </row>
    <row r="146" spans="2:70" ht="6" customHeight="1">
      <c r="B146" s="645"/>
      <c r="C146" s="640"/>
      <c r="D146" s="360"/>
      <c r="E146" s="643"/>
      <c r="F146" s="643"/>
      <c r="G146" s="643"/>
      <c r="H146" s="643"/>
      <c r="I146" s="643"/>
      <c r="J146" s="643"/>
      <c r="K146" s="643"/>
      <c r="L146" s="643"/>
      <c r="M146" s="643"/>
      <c r="N146" s="643"/>
      <c r="O146" s="643"/>
      <c r="P146" s="643"/>
      <c r="Q146" s="643"/>
      <c r="R146" s="643"/>
      <c r="S146" s="646"/>
      <c r="U146" s="644" t="str">
        <f>U24</f>
        <v>菅野　幸子</v>
      </c>
      <c r="V146" s="644"/>
      <c r="W146" s="644"/>
      <c r="X146" s="644"/>
      <c r="Y146" s="644"/>
      <c r="Z146" s="644"/>
      <c r="AA146" s="644"/>
      <c r="AB146" s="644"/>
      <c r="AC146" s="644"/>
      <c r="AD146" s="644"/>
      <c r="AE146" s="644"/>
      <c r="AF146" s="644"/>
      <c r="AG146" s="644"/>
      <c r="AH146" s="644"/>
      <c r="AI146" s="644"/>
      <c r="AJ146" s="644"/>
      <c r="AK146" s="644"/>
      <c r="AL146" s="644"/>
      <c r="AM146" s="644"/>
      <c r="AN146" s="644"/>
      <c r="AO146" s="644"/>
      <c r="AP146" s="644"/>
      <c r="AQ146" s="644"/>
      <c r="AR146" s="644"/>
      <c r="AS146" s="644"/>
      <c r="AT146" s="644"/>
      <c r="AU146" s="644"/>
      <c r="AV146" s="644"/>
      <c r="AW146" s="644"/>
      <c r="AX146" s="644"/>
      <c r="AY146" s="644"/>
      <c r="AZ146" s="644"/>
      <c r="BA146" s="644"/>
      <c r="BB146" s="644"/>
      <c r="BC146" s="644"/>
      <c r="BD146" s="644"/>
      <c r="BE146" s="644"/>
      <c r="BF146" s="644"/>
      <c r="BG146" s="644"/>
      <c r="BH146" s="644"/>
      <c r="BI146" s="644"/>
      <c r="BJ146" s="644"/>
      <c r="BK146" s="644"/>
      <c r="BL146" s="644"/>
      <c r="BM146" s="644"/>
      <c r="BN146" s="644"/>
      <c r="BO146" s="644"/>
      <c r="BP146" s="644"/>
      <c r="BQ146" s="644"/>
      <c r="BR146" s="345"/>
    </row>
    <row r="147" spans="2:70" ht="6" customHeight="1">
      <c r="B147" s="645"/>
      <c r="C147" s="640"/>
      <c r="D147" s="360"/>
      <c r="E147" s="643"/>
      <c r="F147" s="643"/>
      <c r="G147" s="643"/>
      <c r="H147" s="643"/>
      <c r="I147" s="643"/>
      <c r="J147" s="643"/>
      <c r="K147" s="643"/>
      <c r="L147" s="643"/>
      <c r="M147" s="643"/>
      <c r="N147" s="643"/>
      <c r="O147" s="643"/>
      <c r="P147" s="643"/>
      <c r="Q147" s="643"/>
      <c r="R147" s="643"/>
      <c r="S147" s="646"/>
      <c r="T147" s="347"/>
      <c r="U147" s="644"/>
      <c r="V147" s="644"/>
      <c r="W147" s="644"/>
      <c r="X147" s="644"/>
      <c r="Y147" s="644"/>
      <c r="Z147" s="644"/>
      <c r="AA147" s="644"/>
      <c r="AB147" s="644"/>
      <c r="AC147" s="644"/>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44"/>
      <c r="AY147" s="644"/>
      <c r="AZ147" s="644"/>
      <c r="BA147" s="644"/>
      <c r="BB147" s="644"/>
      <c r="BC147" s="644"/>
      <c r="BD147" s="644"/>
      <c r="BE147" s="644"/>
      <c r="BF147" s="644"/>
      <c r="BG147" s="644"/>
      <c r="BH147" s="644"/>
      <c r="BI147" s="644"/>
      <c r="BJ147" s="644"/>
      <c r="BK147" s="644"/>
      <c r="BL147" s="644"/>
      <c r="BM147" s="644"/>
      <c r="BN147" s="644"/>
      <c r="BO147" s="644"/>
      <c r="BP147" s="644"/>
      <c r="BQ147" s="644"/>
      <c r="BR147" s="345"/>
    </row>
    <row r="148" spans="2:70" ht="6" customHeight="1">
      <c r="B148" s="645"/>
      <c r="C148" s="640"/>
      <c r="D148" s="360"/>
      <c r="E148" s="643"/>
      <c r="F148" s="643"/>
      <c r="G148" s="643"/>
      <c r="H148" s="643"/>
      <c r="I148" s="643"/>
      <c r="J148" s="643"/>
      <c r="K148" s="643"/>
      <c r="L148" s="643"/>
      <c r="M148" s="643"/>
      <c r="N148" s="643"/>
      <c r="O148" s="643"/>
      <c r="P148" s="643"/>
      <c r="Q148" s="643"/>
      <c r="R148" s="643"/>
      <c r="S148" s="646"/>
      <c r="T148" s="347"/>
      <c r="U148" s="644"/>
      <c r="V148" s="644"/>
      <c r="W148" s="644"/>
      <c r="X148" s="644"/>
      <c r="Y148" s="644"/>
      <c r="Z148" s="644"/>
      <c r="AA148" s="644"/>
      <c r="AB148" s="644"/>
      <c r="AC148" s="644"/>
      <c r="AD148" s="644"/>
      <c r="AE148" s="644"/>
      <c r="AF148" s="644"/>
      <c r="AG148" s="644"/>
      <c r="AH148" s="644"/>
      <c r="AI148" s="644"/>
      <c r="AJ148" s="644"/>
      <c r="AK148" s="644"/>
      <c r="AL148" s="644"/>
      <c r="AM148" s="644"/>
      <c r="AN148" s="644"/>
      <c r="AO148" s="644"/>
      <c r="AP148" s="644"/>
      <c r="AQ148" s="644"/>
      <c r="AR148" s="644"/>
      <c r="AS148" s="644"/>
      <c r="AT148" s="644"/>
      <c r="AU148" s="644"/>
      <c r="AV148" s="644"/>
      <c r="AW148" s="644"/>
      <c r="AX148" s="644"/>
      <c r="AY148" s="644"/>
      <c r="AZ148" s="644"/>
      <c r="BA148" s="644"/>
      <c r="BB148" s="644"/>
      <c r="BC148" s="644"/>
      <c r="BD148" s="644"/>
      <c r="BE148" s="644"/>
      <c r="BF148" s="644"/>
      <c r="BG148" s="644"/>
      <c r="BH148" s="644"/>
      <c r="BI148" s="644"/>
      <c r="BJ148" s="644"/>
      <c r="BK148" s="644"/>
      <c r="BL148" s="644"/>
      <c r="BM148" s="644"/>
      <c r="BN148" s="644"/>
      <c r="BO148" s="644"/>
      <c r="BP148" s="644"/>
      <c r="BQ148" s="644"/>
      <c r="BR148" s="345"/>
    </row>
    <row r="149" spans="2:70" ht="6" customHeight="1">
      <c r="B149" s="344"/>
      <c r="C149" s="341"/>
      <c r="D149" s="341"/>
      <c r="E149" s="341"/>
      <c r="F149" s="341"/>
      <c r="G149" s="341"/>
      <c r="H149" s="341"/>
      <c r="I149" s="341"/>
      <c r="J149" s="341"/>
      <c r="K149" s="341"/>
      <c r="L149" s="341"/>
      <c r="M149" s="341"/>
      <c r="N149" s="341"/>
      <c r="O149" s="341"/>
      <c r="P149" s="341"/>
      <c r="Q149" s="341"/>
      <c r="R149" s="341"/>
      <c r="S149" s="340"/>
      <c r="T149" s="341"/>
      <c r="U149" s="341"/>
      <c r="V149" s="341"/>
      <c r="W149" s="341"/>
      <c r="X149" s="341"/>
      <c r="Y149" s="341"/>
      <c r="Z149" s="341"/>
      <c r="AA149" s="341"/>
      <c r="AB149" s="341"/>
      <c r="AC149" s="341"/>
      <c r="AD149" s="341"/>
      <c r="AE149" s="341"/>
      <c r="AF149" s="341"/>
      <c r="AG149" s="341"/>
      <c r="AH149" s="341"/>
      <c r="AI149" s="341"/>
      <c r="AJ149" s="341"/>
      <c r="AK149" s="341"/>
      <c r="AL149" s="341"/>
      <c r="AM149" s="341"/>
      <c r="AN149" s="341"/>
      <c r="AO149" s="341"/>
      <c r="AP149" s="341"/>
      <c r="AQ149" s="341"/>
      <c r="AR149" s="341"/>
      <c r="AS149" s="341"/>
      <c r="AT149" s="341"/>
      <c r="AU149" s="341"/>
      <c r="AV149" s="341"/>
      <c r="AW149" s="341"/>
      <c r="AX149" s="341"/>
      <c r="AY149" s="341"/>
      <c r="AZ149" s="341"/>
      <c r="BA149" s="341"/>
      <c r="BB149" s="341"/>
      <c r="BC149" s="341"/>
      <c r="BD149" s="341"/>
      <c r="BE149" s="341"/>
      <c r="BF149" s="341"/>
      <c r="BG149" s="341"/>
      <c r="BH149" s="341"/>
      <c r="BI149" s="341"/>
      <c r="BJ149" s="341"/>
      <c r="BK149" s="341"/>
      <c r="BL149" s="341"/>
      <c r="BM149" s="341"/>
      <c r="BN149" s="341"/>
      <c r="BO149" s="341"/>
      <c r="BP149" s="341"/>
      <c r="BQ149" s="341"/>
      <c r="BR149" s="340"/>
    </row>
    <row r="150" spans="2:70" ht="6" customHeight="1">
      <c r="B150" s="348"/>
      <c r="S150" s="345"/>
      <c r="BR150" s="345"/>
    </row>
    <row r="151" spans="2:70" ht="6" customHeight="1">
      <c r="B151" s="348"/>
      <c r="E151" s="647" t="s">
        <v>3004</v>
      </c>
      <c r="F151" s="647"/>
      <c r="G151" s="647"/>
      <c r="H151" s="647"/>
      <c r="I151" s="647"/>
      <c r="J151" s="647"/>
      <c r="K151" s="647"/>
      <c r="L151" s="647"/>
      <c r="M151" s="647"/>
      <c r="N151" s="647"/>
      <c r="O151" s="647"/>
      <c r="P151" s="647"/>
      <c r="Q151" s="647"/>
      <c r="R151" s="647"/>
      <c r="S151" s="648"/>
      <c r="U151" s="690" t="str">
        <f>U29&amp;""</f>
        <v/>
      </c>
      <c r="V151" s="690"/>
      <c r="W151" s="690"/>
      <c r="X151" s="690"/>
      <c r="Y151" s="690"/>
      <c r="Z151" s="690"/>
      <c r="AA151" s="690"/>
      <c r="AB151" s="690"/>
      <c r="AC151" s="690"/>
      <c r="AD151" s="690"/>
      <c r="AE151" s="690"/>
      <c r="AF151" s="690"/>
      <c r="AG151" s="690"/>
      <c r="AH151" s="690"/>
      <c r="AI151" s="690"/>
      <c r="AJ151" s="690"/>
      <c r="AK151" s="690"/>
      <c r="AL151" s="690"/>
      <c r="AM151" s="690"/>
      <c r="AN151" s="690"/>
      <c r="AO151" s="690"/>
      <c r="AP151" s="690"/>
      <c r="AQ151" s="690"/>
      <c r="AR151" s="690"/>
      <c r="AS151" s="690"/>
      <c r="AT151" s="690"/>
      <c r="AU151" s="690"/>
      <c r="AV151" s="690"/>
      <c r="AW151" s="690"/>
      <c r="AX151" s="690"/>
      <c r="AY151" s="690"/>
      <c r="AZ151" s="690"/>
      <c r="BA151" s="690"/>
      <c r="BB151" s="690"/>
      <c r="BC151" s="690"/>
      <c r="BD151" s="690"/>
      <c r="BE151" s="690"/>
      <c r="BF151" s="690"/>
      <c r="BG151" s="690"/>
      <c r="BH151" s="690"/>
      <c r="BI151" s="690"/>
      <c r="BJ151" s="690"/>
      <c r="BK151" s="690"/>
      <c r="BL151" s="690"/>
      <c r="BM151" s="690"/>
      <c r="BN151" s="690"/>
      <c r="BO151" s="690"/>
      <c r="BP151" s="690"/>
      <c r="BQ151" s="690"/>
      <c r="BR151" s="345"/>
    </row>
    <row r="152" spans="2:70" ht="6" customHeight="1">
      <c r="B152" s="348"/>
      <c r="E152" s="647"/>
      <c r="F152" s="647"/>
      <c r="G152" s="647"/>
      <c r="H152" s="647"/>
      <c r="I152" s="647"/>
      <c r="J152" s="647"/>
      <c r="K152" s="647"/>
      <c r="L152" s="647"/>
      <c r="M152" s="647"/>
      <c r="N152" s="647"/>
      <c r="O152" s="647"/>
      <c r="P152" s="647"/>
      <c r="Q152" s="647"/>
      <c r="R152" s="647"/>
      <c r="S152" s="648"/>
      <c r="U152" s="690"/>
      <c r="V152" s="690"/>
      <c r="W152" s="690"/>
      <c r="X152" s="690"/>
      <c r="Y152" s="690"/>
      <c r="Z152" s="690"/>
      <c r="AA152" s="690"/>
      <c r="AB152" s="690"/>
      <c r="AC152" s="690"/>
      <c r="AD152" s="690"/>
      <c r="AE152" s="690"/>
      <c r="AF152" s="690"/>
      <c r="AG152" s="690"/>
      <c r="AH152" s="690"/>
      <c r="AI152" s="690"/>
      <c r="AJ152" s="690"/>
      <c r="AK152" s="690"/>
      <c r="AL152" s="690"/>
      <c r="AM152" s="690"/>
      <c r="AN152" s="690"/>
      <c r="AO152" s="690"/>
      <c r="AP152" s="690"/>
      <c r="AQ152" s="690"/>
      <c r="AR152" s="690"/>
      <c r="AS152" s="690"/>
      <c r="AT152" s="690"/>
      <c r="AU152" s="690"/>
      <c r="AV152" s="690"/>
      <c r="AW152" s="690"/>
      <c r="AX152" s="690"/>
      <c r="AY152" s="690"/>
      <c r="AZ152" s="690"/>
      <c r="BA152" s="690"/>
      <c r="BB152" s="690"/>
      <c r="BC152" s="690"/>
      <c r="BD152" s="690"/>
      <c r="BE152" s="690"/>
      <c r="BF152" s="690"/>
      <c r="BG152" s="690"/>
      <c r="BH152" s="690"/>
      <c r="BI152" s="690"/>
      <c r="BJ152" s="690"/>
      <c r="BK152" s="690"/>
      <c r="BL152" s="690"/>
      <c r="BM152" s="690"/>
      <c r="BN152" s="690"/>
      <c r="BO152" s="690"/>
      <c r="BP152" s="690"/>
      <c r="BQ152" s="690"/>
      <c r="BR152" s="345"/>
    </row>
    <row r="153" spans="2:70" ht="6" customHeight="1">
      <c r="B153" s="645">
        <v>2</v>
      </c>
      <c r="C153" s="640"/>
      <c r="E153" s="647"/>
      <c r="F153" s="647"/>
      <c r="G153" s="647"/>
      <c r="H153" s="647"/>
      <c r="I153" s="647"/>
      <c r="J153" s="647"/>
      <c r="K153" s="647"/>
      <c r="L153" s="647"/>
      <c r="M153" s="647"/>
      <c r="N153" s="647"/>
      <c r="O153" s="647"/>
      <c r="P153" s="647"/>
      <c r="Q153" s="647"/>
      <c r="R153" s="647"/>
      <c r="S153" s="648"/>
      <c r="U153" s="690"/>
      <c r="V153" s="690"/>
      <c r="W153" s="690"/>
      <c r="X153" s="690"/>
      <c r="Y153" s="690"/>
      <c r="Z153" s="690"/>
      <c r="AA153" s="690"/>
      <c r="AB153" s="690"/>
      <c r="AC153" s="690"/>
      <c r="AD153" s="690"/>
      <c r="AE153" s="690"/>
      <c r="AF153" s="690"/>
      <c r="AG153" s="690"/>
      <c r="AH153" s="690"/>
      <c r="AI153" s="690"/>
      <c r="AJ153" s="690"/>
      <c r="AK153" s="690"/>
      <c r="AL153" s="690"/>
      <c r="AM153" s="690"/>
      <c r="AN153" s="690"/>
      <c r="AO153" s="690"/>
      <c r="AP153" s="690"/>
      <c r="AQ153" s="690"/>
      <c r="AR153" s="690"/>
      <c r="AS153" s="690"/>
      <c r="AT153" s="690"/>
      <c r="AU153" s="690"/>
      <c r="AV153" s="690"/>
      <c r="AW153" s="690"/>
      <c r="AX153" s="690"/>
      <c r="AY153" s="690"/>
      <c r="AZ153" s="690"/>
      <c r="BA153" s="690"/>
      <c r="BB153" s="690"/>
      <c r="BC153" s="690"/>
      <c r="BD153" s="690"/>
      <c r="BE153" s="690"/>
      <c r="BF153" s="690"/>
      <c r="BG153" s="690"/>
      <c r="BH153" s="690"/>
      <c r="BI153" s="690"/>
      <c r="BJ153" s="690"/>
      <c r="BK153" s="690"/>
      <c r="BL153" s="690"/>
      <c r="BM153" s="690"/>
      <c r="BN153" s="690"/>
      <c r="BO153" s="690"/>
      <c r="BP153" s="690"/>
      <c r="BQ153" s="690"/>
      <c r="BR153" s="345"/>
    </row>
    <row r="154" spans="2:70" ht="6" customHeight="1">
      <c r="B154" s="645"/>
      <c r="C154" s="640"/>
      <c r="E154" s="368"/>
      <c r="F154" s="368"/>
      <c r="G154" s="368"/>
      <c r="H154" s="368"/>
      <c r="I154" s="368"/>
      <c r="J154" s="368"/>
      <c r="K154" s="368"/>
      <c r="L154" s="368"/>
      <c r="M154" s="368"/>
      <c r="N154" s="368"/>
      <c r="O154" s="368"/>
      <c r="P154" s="368"/>
      <c r="Q154" s="368"/>
      <c r="R154" s="368"/>
      <c r="S154" s="374"/>
      <c r="U154" s="373"/>
      <c r="V154" s="373"/>
      <c r="W154" s="373"/>
      <c r="X154" s="373"/>
      <c r="Y154" s="373"/>
      <c r="Z154" s="373"/>
      <c r="AA154" s="373"/>
      <c r="AB154" s="373"/>
      <c r="AC154" s="373"/>
      <c r="AD154" s="373"/>
      <c r="AE154" s="373"/>
      <c r="AF154" s="373"/>
      <c r="AG154" s="373"/>
      <c r="AH154" s="373"/>
      <c r="AI154" s="373"/>
      <c r="AJ154" s="373"/>
      <c r="AK154" s="373"/>
      <c r="AL154" s="373"/>
      <c r="AM154" s="373"/>
      <c r="AN154" s="373"/>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R154" s="345"/>
    </row>
    <row r="155" spans="2:70" ht="6" customHeight="1">
      <c r="B155" s="645"/>
      <c r="C155" s="640"/>
      <c r="E155" s="650" t="s">
        <v>3003</v>
      </c>
      <c r="F155" s="650"/>
      <c r="G155" s="650"/>
      <c r="H155" s="650"/>
      <c r="I155" s="650"/>
      <c r="J155" s="650"/>
      <c r="K155" s="650"/>
      <c r="L155" s="650"/>
      <c r="M155" s="650"/>
      <c r="N155" s="650"/>
      <c r="O155" s="650"/>
      <c r="P155" s="650"/>
      <c r="Q155" s="650"/>
      <c r="R155" s="650"/>
      <c r="S155" s="651"/>
      <c r="U155" s="687" t="str">
        <f>U33&amp;""</f>
        <v/>
      </c>
      <c r="V155" s="687"/>
      <c r="W155" s="687"/>
      <c r="X155" s="687"/>
      <c r="Y155" s="687"/>
      <c r="Z155" s="687"/>
      <c r="AA155" s="687"/>
      <c r="AB155" s="687"/>
      <c r="AC155" s="687"/>
      <c r="AD155" s="687"/>
      <c r="AE155" s="687"/>
      <c r="AF155" s="687"/>
      <c r="AG155" s="687"/>
      <c r="AH155" s="687"/>
      <c r="AI155" s="687"/>
      <c r="AJ155" s="687"/>
      <c r="AK155" s="687"/>
      <c r="AL155" s="687"/>
      <c r="AM155" s="687"/>
      <c r="AN155" s="687"/>
      <c r="AO155" s="687"/>
      <c r="AP155" s="687"/>
      <c r="AQ155" s="687"/>
      <c r="AR155" s="687"/>
      <c r="AS155" s="687"/>
      <c r="AT155" s="687"/>
      <c r="AU155" s="687"/>
      <c r="AV155" s="687"/>
      <c r="AW155" s="687"/>
      <c r="AX155" s="687"/>
      <c r="AY155" s="687"/>
      <c r="AZ155" s="687"/>
      <c r="BA155" s="687"/>
      <c r="BB155" s="687"/>
      <c r="BC155" s="687"/>
      <c r="BD155" s="687"/>
      <c r="BE155" s="687"/>
      <c r="BF155" s="687"/>
      <c r="BG155" s="687"/>
      <c r="BH155" s="687"/>
      <c r="BI155" s="687"/>
      <c r="BJ155" s="687"/>
      <c r="BK155" s="687"/>
      <c r="BL155" s="687"/>
      <c r="BM155" s="687"/>
      <c r="BN155" s="687"/>
      <c r="BO155" s="687"/>
      <c r="BP155" s="687"/>
      <c r="BQ155" s="687"/>
      <c r="BR155" s="345"/>
    </row>
    <row r="156" spans="2:70" ht="6" customHeight="1">
      <c r="B156" s="645"/>
      <c r="C156" s="640"/>
      <c r="E156" s="650"/>
      <c r="F156" s="650"/>
      <c r="G156" s="650"/>
      <c r="H156" s="650"/>
      <c r="I156" s="650"/>
      <c r="J156" s="650"/>
      <c r="K156" s="650"/>
      <c r="L156" s="650"/>
      <c r="M156" s="650"/>
      <c r="N156" s="650"/>
      <c r="O156" s="650"/>
      <c r="P156" s="650"/>
      <c r="Q156" s="650"/>
      <c r="R156" s="650"/>
      <c r="S156" s="651"/>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7"/>
      <c r="AY156" s="687"/>
      <c r="AZ156" s="687"/>
      <c r="BA156" s="687"/>
      <c r="BB156" s="687"/>
      <c r="BC156" s="687"/>
      <c r="BD156" s="687"/>
      <c r="BE156" s="687"/>
      <c r="BF156" s="687"/>
      <c r="BG156" s="687"/>
      <c r="BH156" s="687"/>
      <c r="BI156" s="687"/>
      <c r="BJ156" s="687"/>
      <c r="BK156" s="687"/>
      <c r="BL156" s="687"/>
      <c r="BM156" s="687"/>
      <c r="BN156" s="687"/>
      <c r="BO156" s="687"/>
      <c r="BP156" s="687"/>
      <c r="BQ156" s="687"/>
      <c r="BR156" s="345"/>
    </row>
    <row r="157" spans="2:70" ht="6" customHeight="1">
      <c r="B157" s="645"/>
      <c r="C157" s="640"/>
      <c r="E157" s="650"/>
      <c r="F157" s="650"/>
      <c r="G157" s="650"/>
      <c r="H157" s="650"/>
      <c r="I157" s="650"/>
      <c r="J157" s="650"/>
      <c r="K157" s="650"/>
      <c r="L157" s="650"/>
      <c r="M157" s="650"/>
      <c r="N157" s="650"/>
      <c r="O157" s="650"/>
      <c r="P157" s="650"/>
      <c r="Q157" s="650"/>
      <c r="R157" s="650"/>
      <c r="S157" s="651"/>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7"/>
      <c r="AY157" s="687"/>
      <c r="AZ157" s="687"/>
      <c r="BA157" s="687"/>
      <c r="BB157" s="687"/>
      <c r="BC157" s="687"/>
      <c r="BD157" s="687"/>
      <c r="BE157" s="687"/>
      <c r="BF157" s="687"/>
      <c r="BG157" s="687"/>
      <c r="BH157" s="687"/>
      <c r="BI157" s="687"/>
      <c r="BJ157" s="687"/>
      <c r="BK157" s="687"/>
      <c r="BL157" s="687"/>
      <c r="BM157" s="687"/>
      <c r="BN157" s="687"/>
      <c r="BO157" s="687"/>
      <c r="BP157" s="687"/>
      <c r="BQ157" s="687"/>
      <c r="BR157" s="345"/>
    </row>
    <row r="158" spans="2:70" ht="6" customHeight="1">
      <c r="B158" s="645"/>
      <c r="C158" s="640"/>
      <c r="S158" s="345"/>
      <c r="BR158" s="345"/>
    </row>
    <row r="159" spans="2:70" ht="6" customHeight="1">
      <c r="B159" s="645"/>
      <c r="C159" s="640"/>
      <c r="S159" s="345"/>
      <c r="U159" s="630" t="s">
        <v>3002</v>
      </c>
      <c r="V159" s="630"/>
      <c r="W159" s="630"/>
      <c r="X159" s="630"/>
      <c r="Y159" s="630"/>
      <c r="Z159" s="630"/>
      <c r="AA159" s="630"/>
      <c r="AB159" s="630"/>
      <c r="AC159" s="630"/>
      <c r="AD159" s="630"/>
      <c r="AE159" s="630"/>
      <c r="AF159" s="630"/>
      <c r="AG159" s="689" t="str">
        <f>AG37&amp;""</f>
        <v/>
      </c>
      <c r="AH159" s="689"/>
      <c r="AI159" s="689"/>
      <c r="AJ159" s="689"/>
      <c r="AK159" s="689"/>
      <c r="AL159" s="689"/>
      <c r="AM159" s="616" t="s">
        <v>3001</v>
      </c>
      <c r="AN159" s="616"/>
      <c r="AO159" s="616"/>
      <c r="AP159" s="616"/>
      <c r="AQ159" s="688" t="str">
        <f>AQ37&amp;""</f>
        <v/>
      </c>
      <c r="AR159" s="688"/>
      <c r="AS159" s="688"/>
      <c r="AT159" s="688" t="str">
        <f>AT37&amp;""</f>
        <v/>
      </c>
      <c r="AU159" s="688"/>
      <c r="AV159" s="688"/>
      <c r="AW159" s="630" t="s">
        <v>51</v>
      </c>
      <c r="AX159" s="630"/>
      <c r="AY159" s="352"/>
      <c r="AZ159" s="352"/>
      <c r="BA159" s="643" t="s">
        <v>2999</v>
      </c>
      <c r="BB159" s="643"/>
      <c r="BC159" s="688" t="str">
        <f>BC37&amp;""</f>
        <v/>
      </c>
      <c r="BD159" s="688"/>
      <c r="BE159" s="688"/>
      <c r="BF159" s="688"/>
      <c r="BG159" s="688"/>
      <c r="BH159" s="688"/>
      <c r="BI159" s="688"/>
      <c r="BJ159" s="688"/>
      <c r="BK159" s="688"/>
      <c r="BL159" s="688"/>
      <c r="BM159" s="688"/>
      <c r="BN159" s="688"/>
      <c r="BO159" s="616" t="s">
        <v>466</v>
      </c>
      <c r="BP159" s="616"/>
      <c r="BR159" s="345"/>
    </row>
    <row r="160" spans="2:70" ht="6" customHeight="1">
      <c r="B160" s="348"/>
      <c r="S160" s="345"/>
      <c r="U160" s="630"/>
      <c r="V160" s="630"/>
      <c r="W160" s="630"/>
      <c r="X160" s="630"/>
      <c r="Y160" s="630"/>
      <c r="Z160" s="630"/>
      <c r="AA160" s="630"/>
      <c r="AB160" s="630"/>
      <c r="AC160" s="630"/>
      <c r="AD160" s="630"/>
      <c r="AE160" s="630"/>
      <c r="AF160" s="630"/>
      <c r="AG160" s="689"/>
      <c r="AH160" s="689"/>
      <c r="AI160" s="689"/>
      <c r="AJ160" s="689"/>
      <c r="AK160" s="689"/>
      <c r="AL160" s="689"/>
      <c r="AM160" s="616"/>
      <c r="AN160" s="616"/>
      <c r="AO160" s="616"/>
      <c r="AP160" s="616"/>
      <c r="AQ160" s="688"/>
      <c r="AR160" s="688"/>
      <c r="AS160" s="688"/>
      <c r="AT160" s="688"/>
      <c r="AU160" s="688"/>
      <c r="AV160" s="688"/>
      <c r="AW160" s="630"/>
      <c r="AX160" s="630"/>
      <c r="AY160" s="352"/>
      <c r="AZ160" s="352"/>
      <c r="BA160" s="643"/>
      <c r="BB160" s="643"/>
      <c r="BC160" s="688"/>
      <c r="BD160" s="688"/>
      <c r="BE160" s="688"/>
      <c r="BF160" s="688"/>
      <c r="BG160" s="688"/>
      <c r="BH160" s="688"/>
      <c r="BI160" s="688"/>
      <c r="BJ160" s="688"/>
      <c r="BK160" s="688"/>
      <c r="BL160" s="688"/>
      <c r="BM160" s="688"/>
      <c r="BN160" s="688"/>
      <c r="BO160" s="616"/>
      <c r="BP160" s="616"/>
      <c r="BR160" s="345"/>
    </row>
    <row r="161" spans="2:70" ht="6" customHeight="1">
      <c r="B161" s="348"/>
      <c r="S161" s="345"/>
      <c r="U161" s="630"/>
      <c r="V161" s="630"/>
      <c r="W161" s="630"/>
      <c r="X161" s="630"/>
      <c r="Y161" s="630"/>
      <c r="Z161" s="630"/>
      <c r="AA161" s="630"/>
      <c r="AB161" s="630"/>
      <c r="AC161" s="630"/>
      <c r="AD161" s="630"/>
      <c r="AE161" s="630"/>
      <c r="AF161" s="630"/>
      <c r="AG161" s="689"/>
      <c r="AH161" s="689"/>
      <c r="AI161" s="689"/>
      <c r="AJ161" s="689"/>
      <c r="AK161" s="689"/>
      <c r="AL161" s="689"/>
      <c r="AM161" s="616"/>
      <c r="AN161" s="616"/>
      <c r="AO161" s="616"/>
      <c r="AP161" s="616"/>
      <c r="AQ161" s="688"/>
      <c r="AR161" s="688"/>
      <c r="AS161" s="688"/>
      <c r="AT161" s="688"/>
      <c r="AU161" s="688"/>
      <c r="AV161" s="688"/>
      <c r="AW161" s="630"/>
      <c r="AX161" s="630"/>
      <c r="AY161" s="352"/>
      <c r="AZ161" s="352"/>
      <c r="BA161" s="643"/>
      <c r="BB161" s="643"/>
      <c r="BC161" s="688"/>
      <c r="BD161" s="688"/>
      <c r="BE161" s="688"/>
      <c r="BF161" s="688"/>
      <c r="BG161" s="688"/>
      <c r="BH161" s="688"/>
      <c r="BI161" s="688"/>
      <c r="BJ161" s="688"/>
      <c r="BK161" s="688"/>
      <c r="BL161" s="688"/>
      <c r="BM161" s="688"/>
      <c r="BN161" s="688"/>
      <c r="BO161" s="616"/>
      <c r="BP161" s="616"/>
      <c r="BR161" s="345"/>
    </row>
    <row r="162" spans="2:70" ht="6" customHeight="1">
      <c r="B162" s="344"/>
      <c r="C162" s="341"/>
      <c r="D162" s="341"/>
      <c r="E162" s="341"/>
      <c r="F162" s="341"/>
      <c r="G162" s="341"/>
      <c r="H162" s="341"/>
      <c r="I162" s="341"/>
      <c r="J162" s="341"/>
      <c r="K162" s="341"/>
      <c r="L162" s="341"/>
      <c r="M162" s="341"/>
      <c r="N162" s="341"/>
      <c r="O162" s="341"/>
      <c r="P162" s="341"/>
      <c r="Q162" s="341"/>
      <c r="R162" s="341"/>
      <c r="S162" s="340"/>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T162" s="341"/>
      <c r="AU162" s="341"/>
      <c r="AV162" s="341"/>
      <c r="AW162" s="341"/>
      <c r="AX162" s="341"/>
      <c r="AY162" s="341"/>
      <c r="AZ162" s="341"/>
      <c r="BA162" s="341"/>
      <c r="BB162" s="341"/>
      <c r="BC162" s="341"/>
      <c r="BD162" s="341"/>
      <c r="BE162" s="341"/>
      <c r="BF162" s="341"/>
      <c r="BG162" s="341"/>
      <c r="BH162" s="341"/>
      <c r="BI162" s="341"/>
      <c r="BJ162" s="341"/>
      <c r="BK162" s="341"/>
      <c r="BL162" s="341"/>
      <c r="BM162" s="341"/>
      <c r="BN162" s="341"/>
      <c r="BO162" s="341"/>
      <c r="BP162" s="341"/>
      <c r="BQ162" s="341"/>
      <c r="BR162" s="340"/>
    </row>
    <row r="163" spans="2:70" ht="6" customHeight="1">
      <c r="B163" s="348"/>
      <c r="P163" s="372"/>
      <c r="Q163" s="372"/>
      <c r="S163" s="345"/>
      <c r="U163" s="691" t="str">
        <f>U41&amp;""</f>
        <v/>
      </c>
      <c r="V163" s="691"/>
      <c r="W163" s="691"/>
      <c r="X163" s="691"/>
      <c r="Y163" s="691"/>
      <c r="Z163" s="691"/>
      <c r="AA163" s="691"/>
      <c r="AB163" s="691"/>
      <c r="AC163" s="691"/>
      <c r="AD163" s="691"/>
      <c r="AE163" s="691"/>
      <c r="AF163" s="691"/>
      <c r="AG163" s="691"/>
      <c r="AH163" s="691"/>
      <c r="AI163" s="691"/>
      <c r="AJ163" s="691"/>
      <c r="AK163" s="691"/>
      <c r="AL163" s="691"/>
      <c r="AM163" s="691"/>
      <c r="AN163" s="691"/>
      <c r="AP163" s="630" t="s">
        <v>3000</v>
      </c>
      <c r="AQ163" s="630"/>
      <c r="AR163" s="630"/>
      <c r="AS163" s="630"/>
      <c r="AT163" s="630"/>
      <c r="AU163" s="630"/>
      <c r="AV163" s="630"/>
      <c r="AW163" s="630"/>
      <c r="AX163" s="630"/>
      <c r="AY163" s="630"/>
      <c r="AZ163" s="643" t="s">
        <v>2999</v>
      </c>
      <c r="BA163" s="643"/>
      <c r="BB163" s="688" t="str">
        <f>BB41&amp;""</f>
        <v/>
      </c>
      <c r="BC163" s="688"/>
      <c r="BD163" s="688"/>
      <c r="BE163" s="688"/>
      <c r="BF163" s="688"/>
      <c r="BG163" s="688"/>
      <c r="BH163" s="688"/>
      <c r="BI163" s="688"/>
      <c r="BJ163" s="688"/>
      <c r="BK163" s="688"/>
      <c r="BL163" s="688"/>
      <c r="BM163" s="688"/>
      <c r="BN163" s="688"/>
      <c r="BO163" s="616" t="s">
        <v>466</v>
      </c>
      <c r="BP163" s="616"/>
      <c r="BQ163" s="352"/>
      <c r="BR163" s="345"/>
    </row>
    <row r="164" spans="2:70" ht="6" customHeight="1">
      <c r="B164" s="348"/>
      <c r="P164" s="372"/>
      <c r="Q164" s="372"/>
      <c r="S164" s="345"/>
      <c r="U164" s="691"/>
      <c r="V164" s="691"/>
      <c r="W164" s="691"/>
      <c r="X164" s="691"/>
      <c r="Y164" s="691"/>
      <c r="Z164" s="691"/>
      <c r="AA164" s="691"/>
      <c r="AB164" s="691"/>
      <c r="AC164" s="691"/>
      <c r="AD164" s="691"/>
      <c r="AE164" s="691"/>
      <c r="AF164" s="691"/>
      <c r="AG164" s="691"/>
      <c r="AH164" s="691"/>
      <c r="AI164" s="691"/>
      <c r="AJ164" s="691"/>
      <c r="AK164" s="691"/>
      <c r="AL164" s="691"/>
      <c r="AM164" s="691"/>
      <c r="AN164" s="691"/>
      <c r="AP164" s="630"/>
      <c r="AQ164" s="630"/>
      <c r="AR164" s="630"/>
      <c r="AS164" s="630"/>
      <c r="AT164" s="630"/>
      <c r="AU164" s="630"/>
      <c r="AV164" s="630"/>
      <c r="AW164" s="630"/>
      <c r="AX164" s="630"/>
      <c r="AY164" s="630"/>
      <c r="AZ164" s="643"/>
      <c r="BA164" s="643"/>
      <c r="BB164" s="688"/>
      <c r="BC164" s="688"/>
      <c r="BD164" s="688"/>
      <c r="BE164" s="688"/>
      <c r="BF164" s="688"/>
      <c r="BG164" s="688"/>
      <c r="BH164" s="688"/>
      <c r="BI164" s="688"/>
      <c r="BJ164" s="688"/>
      <c r="BK164" s="688"/>
      <c r="BL164" s="688"/>
      <c r="BM164" s="688"/>
      <c r="BN164" s="688"/>
      <c r="BO164" s="616"/>
      <c r="BP164" s="616"/>
      <c r="BQ164" s="352"/>
      <c r="BR164" s="345"/>
    </row>
    <row r="165" spans="2:70" ht="6" customHeight="1">
      <c r="B165" s="645">
        <v>3</v>
      </c>
      <c r="C165" s="640"/>
      <c r="E165" s="638" t="s">
        <v>2998</v>
      </c>
      <c r="F165" s="638"/>
      <c r="G165" s="638"/>
      <c r="H165" s="638"/>
      <c r="I165" s="638"/>
      <c r="J165" s="638"/>
      <c r="K165" s="638"/>
      <c r="L165" s="638"/>
      <c r="M165" s="638"/>
      <c r="N165" s="638"/>
      <c r="O165" s="638"/>
      <c r="P165" s="638"/>
      <c r="Q165" s="638"/>
      <c r="R165" s="638"/>
      <c r="S165" s="345"/>
      <c r="U165" s="691"/>
      <c r="V165" s="691"/>
      <c r="W165" s="691"/>
      <c r="X165" s="691"/>
      <c r="Y165" s="691"/>
      <c r="Z165" s="691"/>
      <c r="AA165" s="691"/>
      <c r="AB165" s="691"/>
      <c r="AC165" s="691"/>
      <c r="AD165" s="691"/>
      <c r="AE165" s="691"/>
      <c r="AF165" s="691"/>
      <c r="AG165" s="691"/>
      <c r="AH165" s="691"/>
      <c r="AI165" s="691"/>
      <c r="AJ165" s="691"/>
      <c r="AK165" s="691"/>
      <c r="AL165" s="691"/>
      <c r="AM165" s="691"/>
      <c r="AN165" s="691"/>
      <c r="AP165" s="630"/>
      <c r="AQ165" s="630"/>
      <c r="AR165" s="630"/>
      <c r="AS165" s="630"/>
      <c r="AT165" s="630"/>
      <c r="AU165" s="630"/>
      <c r="AV165" s="630"/>
      <c r="AW165" s="630"/>
      <c r="AX165" s="630"/>
      <c r="AY165" s="630"/>
      <c r="AZ165" s="643"/>
      <c r="BA165" s="643"/>
      <c r="BB165" s="688"/>
      <c r="BC165" s="688"/>
      <c r="BD165" s="688"/>
      <c r="BE165" s="688"/>
      <c r="BF165" s="688"/>
      <c r="BG165" s="688"/>
      <c r="BH165" s="688"/>
      <c r="BI165" s="688"/>
      <c r="BJ165" s="688"/>
      <c r="BK165" s="688"/>
      <c r="BL165" s="688"/>
      <c r="BM165" s="688"/>
      <c r="BN165" s="688"/>
      <c r="BO165" s="616"/>
      <c r="BP165" s="616"/>
      <c r="BQ165" s="352"/>
      <c r="BR165" s="345"/>
    </row>
    <row r="166" spans="2:70" ht="6" customHeight="1">
      <c r="B166" s="645"/>
      <c r="C166" s="640"/>
      <c r="E166" s="638"/>
      <c r="F166" s="638"/>
      <c r="G166" s="638"/>
      <c r="H166" s="638"/>
      <c r="I166" s="638"/>
      <c r="J166" s="638"/>
      <c r="K166" s="638"/>
      <c r="L166" s="638"/>
      <c r="M166" s="638"/>
      <c r="N166" s="638"/>
      <c r="O166" s="638"/>
      <c r="P166" s="638"/>
      <c r="Q166" s="638"/>
      <c r="R166" s="638"/>
      <c r="S166" s="345"/>
      <c r="U166" s="691"/>
      <c r="V166" s="691"/>
      <c r="W166" s="691"/>
      <c r="X166" s="691"/>
      <c r="Y166" s="691"/>
      <c r="Z166" s="691"/>
      <c r="AA166" s="691"/>
      <c r="AB166" s="691"/>
      <c r="AC166" s="691"/>
      <c r="AD166" s="691"/>
      <c r="AE166" s="691"/>
      <c r="AF166" s="691"/>
      <c r="AG166" s="691"/>
      <c r="AH166" s="691"/>
      <c r="AI166" s="691"/>
      <c r="AJ166" s="691"/>
      <c r="AK166" s="691"/>
      <c r="AL166" s="691"/>
      <c r="AM166" s="691"/>
      <c r="AN166" s="691"/>
      <c r="AP166" s="630"/>
      <c r="AQ166" s="630"/>
      <c r="AR166" s="630"/>
      <c r="AS166" s="630"/>
      <c r="AT166" s="630"/>
      <c r="AU166" s="630"/>
      <c r="AV166" s="630"/>
      <c r="AW166" s="630"/>
      <c r="AX166" s="630"/>
      <c r="AY166" s="630"/>
      <c r="AZ166" s="643"/>
      <c r="BA166" s="643"/>
      <c r="BB166" s="688"/>
      <c r="BC166" s="688"/>
      <c r="BD166" s="688"/>
      <c r="BE166" s="688"/>
      <c r="BF166" s="688"/>
      <c r="BG166" s="688"/>
      <c r="BH166" s="688"/>
      <c r="BI166" s="688"/>
      <c r="BJ166" s="688"/>
      <c r="BK166" s="688"/>
      <c r="BL166" s="688"/>
      <c r="BM166" s="688"/>
      <c r="BN166" s="688"/>
      <c r="BO166" s="616"/>
      <c r="BP166" s="616"/>
      <c r="BQ166" s="352"/>
      <c r="BR166" s="345"/>
    </row>
    <row r="167" spans="2:70" ht="6" customHeight="1">
      <c r="B167" s="348"/>
      <c r="S167" s="345"/>
      <c r="U167" s="691"/>
      <c r="V167" s="691"/>
      <c r="W167" s="691"/>
      <c r="X167" s="691"/>
      <c r="Y167" s="691"/>
      <c r="Z167" s="691"/>
      <c r="AA167" s="691"/>
      <c r="AB167" s="691"/>
      <c r="AC167" s="691"/>
      <c r="AD167" s="691"/>
      <c r="AE167" s="691"/>
      <c r="AF167" s="691"/>
      <c r="AG167" s="691"/>
      <c r="AH167" s="691"/>
      <c r="AI167" s="691"/>
      <c r="AJ167" s="691"/>
      <c r="AK167" s="691"/>
      <c r="AL167" s="691"/>
      <c r="AM167" s="691"/>
      <c r="AN167" s="691"/>
      <c r="AP167" s="630"/>
      <c r="AQ167" s="630"/>
      <c r="AR167" s="630"/>
      <c r="AS167" s="630"/>
      <c r="AT167" s="630"/>
      <c r="AU167" s="630"/>
      <c r="AV167" s="630"/>
      <c r="AW167" s="630"/>
      <c r="AX167" s="630"/>
      <c r="AY167" s="630"/>
      <c r="AZ167" s="643"/>
      <c r="BA167" s="643"/>
      <c r="BB167" s="688"/>
      <c r="BC167" s="688"/>
      <c r="BD167" s="688"/>
      <c r="BE167" s="688"/>
      <c r="BF167" s="688"/>
      <c r="BG167" s="688"/>
      <c r="BH167" s="688"/>
      <c r="BI167" s="688"/>
      <c r="BJ167" s="688"/>
      <c r="BK167" s="688"/>
      <c r="BL167" s="688"/>
      <c r="BM167" s="688"/>
      <c r="BN167" s="688"/>
      <c r="BO167" s="616"/>
      <c r="BP167" s="616"/>
      <c r="BQ167" s="352"/>
      <c r="BR167" s="345"/>
    </row>
    <row r="168" spans="2:70" ht="6" customHeight="1">
      <c r="B168" s="344"/>
      <c r="J168" s="371"/>
      <c r="K168" s="371"/>
      <c r="L168" s="371"/>
      <c r="M168" s="371"/>
      <c r="N168" s="371"/>
      <c r="S168" s="345"/>
      <c r="U168" s="691"/>
      <c r="V168" s="691"/>
      <c r="W168" s="691"/>
      <c r="X168" s="691"/>
      <c r="Y168" s="691"/>
      <c r="Z168" s="691"/>
      <c r="AA168" s="691"/>
      <c r="AB168" s="691"/>
      <c r="AC168" s="691"/>
      <c r="AD168" s="691"/>
      <c r="AE168" s="691"/>
      <c r="AF168" s="691"/>
      <c r="AG168" s="691"/>
      <c r="AH168" s="691"/>
      <c r="AI168" s="691"/>
      <c r="AJ168" s="691"/>
      <c r="AK168" s="691"/>
      <c r="AL168" s="691"/>
      <c r="AM168" s="691"/>
      <c r="AN168" s="691"/>
      <c r="AP168" s="630"/>
      <c r="AQ168" s="630"/>
      <c r="AR168" s="630"/>
      <c r="AS168" s="630"/>
      <c r="AT168" s="630"/>
      <c r="AU168" s="630"/>
      <c r="AV168" s="630"/>
      <c r="AW168" s="630"/>
      <c r="AX168" s="630"/>
      <c r="AY168" s="630"/>
      <c r="AZ168" s="643"/>
      <c r="BA168" s="643"/>
      <c r="BB168" s="688"/>
      <c r="BC168" s="688"/>
      <c r="BD168" s="688"/>
      <c r="BE168" s="688"/>
      <c r="BF168" s="688"/>
      <c r="BG168" s="688"/>
      <c r="BH168" s="688"/>
      <c r="BI168" s="688"/>
      <c r="BJ168" s="688"/>
      <c r="BK168" s="688"/>
      <c r="BL168" s="688"/>
      <c r="BM168" s="688"/>
      <c r="BN168" s="688"/>
      <c r="BO168" s="616"/>
      <c r="BP168" s="616"/>
      <c r="BQ168" s="352"/>
      <c r="BR168" s="345"/>
    </row>
    <row r="169" spans="2:70" ht="6" customHeight="1">
      <c r="B169" s="348"/>
      <c r="C169" s="370"/>
      <c r="D169" s="370"/>
      <c r="E169" s="370"/>
      <c r="F169" s="370"/>
      <c r="G169" s="370"/>
      <c r="H169" s="370"/>
      <c r="I169" s="370"/>
      <c r="J169" s="370"/>
      <c r="K169" s="370"/>
      <c r="L169" s="370"/>
      <c r="M169" s="370"/>
      <c r="N169" s="370"/>
      <c r="O169" s="370"/>
      <c r="P169" s="370"/>
      <c r="Q169" s="370"/>
      <c r="R169" s="370"/>
      <c r="S169" s="369"/>
      <c r="T169" s="370"/>
      <c r="U169" s="370"/>
      <c r="V169" s="370"/>
      <c r="W169" s="370"/>
      <c r="X169" s="370"/>
      <c r="Y169" s="370"/>
      <c r="Z169" s="370"/>
      <c r="AA169" s="370"/>
      <c r="AB169" s="370"/>
      <c r="AC169" s="370"/>
      <c r="AD169" s="370"/>
      <c r="AE169" s="370"/>
      <c r="AF169" s="370"/>
      <c r="AG169" s="370"/>
      <c r="AH169" s="370"/>
      <c r="AI169" s="370"/>
      <c r="AJ169" s="370"/>
      <c r="AK169" s="370"/>
      <c r="AL169" s="370"/>
      <c r="AM169" s="370"/>
      <c r="AN169" s="370"/>
      <c r="AO169" s="370"/>
      <c r="AP169" s="370"/>
      <c r="AQ169" s="370"/>
      <c r="AR169" s="370"/>
      <c r="AS169" s="370"/>
      <c r="AT169" s="370"/>
      <c r="AU169" s="370"/>
      <c r="AV169" s="370"/>
      <c r="AW169" s="370"/>
      <c r="AX169" s="370"/>
      <c r="AY169" s="370"/>
      <c r="AZ169" s="370"/>
      <c r="BA169" s="370"/>
      <c r="BB169" s="370"/>
      <c r="BC169" s="370"/>
      <c r="BD169" s="370"/>
      <c r="BE169" s="370"/>
      <c r="BF169" s="370"/>
      <c r="BG169" s="370"/>
      <c r="BH169" s="370"/>
      <c r="BI169" s="370"/>
      <c r="BJ169" s="370"/>
      <c r="BK169" s="370"/>
      <c r="BL169" s="370"/>
      <c r="BM169" s="370"/>
      <c r="BN169" s="370"/>
      <c r="BO169" s="370"/>
      <c r="BP169" s="370"/>
      <c r="BQ169" s="370"/>
      <c r="BR169" s="369"/>
    </row>
    <row r="170" spans="2:70" ht="6" customHeight="1">
      <c r="B170" s="645">
        <v>4</v>
      </c>
      <c r="C170" s="640"/>
      <c r="E170" s="638" t="s">
        <v>2997</v>
      </c>
      <c r="F170" s="638"/>
      <c r="G170" s="638"/>
      <c r="H170" s="638"/>
      <c r="I170" s="638"/>
      <c r="J170" s="638"/>
      <c r="K170" s="638"/>
      <c r="L170" s="638"/>
      <c r="M170" s="638"/>
      <c r="N170" s="638"/>
      <c r="O170" s="638"/>
      <c r="P170" s="638"/>
      <c r="Q170" s="638"/>
      <c r="R170" s="638"/>
      <c r="S170" s="345"/>
      <c r="U170" s="644" t="str">
        <f>U48&amp;""</f>
        <v>静岡県静岡市葵区平和二丁目215-8</v>
      </c>
      <c r="V170" s="644"/>
      <c r="W170" s="644"/>
      <c r="X170" s="644"/>
      <c r="Y170" s="644"/>
      <c r="Z170" s="644"/>
      <c r="AA170" s="644"/>
      <c r="AB170" s="644"/>
      <c r="AC170" s="644"/>
      <c r="AD170" s="644"/>
      <c r="AE170" s="644"/>
      <c r="AF170" s="644"/>
      <c r="AG170" s="644"/>
      <c r="AH170" s="644"/>
      <c r="AI170" s="644"/>
      <c r="AJ170" s="644"/>
      <c r="AK170" s="644"/>
      <c r="AL170" s="644"/>
      <c r="AM170" s="644"/>
      <c r="AN170" s="644"/>
      <c r="AO170" s="644"/>
      <c r="AP170" s="644"/>
      <c r="AQ170" s="644"/>
      <c r="AR170" s="644"/>
      <c r="AS170" s="644"/>
      <c r="AT170" s="644"/>
      <c r="AU170" s="644"/>
      <c r="AV170" s="644"/>
      <c r="AW170" s="644"/>
      <c r="AX170" s="644"/>
      <c r="AY170" s="644"/>
      <c r="AZ170" s="644"/>
      <c r="BA170" s="644"/>
      <c r="BB170" s="644"/>
      <c r="BC170" s="644"/>
      <c r="BD170" s="644"/>
      <c r="BE170" s="644"/>
      <c r="BF170" s="644"/>
      <c r="BG170" s="644"/>
      <c r="BH170" s="644"/>
      <c r="BI170" s="644"/>
      <c r="BJ170" s="644"/>
      <c r="BK170" s="644"/>
      <c r="BL170" s="644"/>
      <c r="BM170" s="644"/>
      <c r="BN170" s="644"/>
      <c r="BO170" s="644"/>
      <c r="BP170" s="644"/>
      <c r="BQ170" s="644"/>
      <c r="BR170" s="345"/>
    </row>
    <row r="171" spans="2:70" ht="6" customHeight="1">
      <c r="B171" s="645"/>
      <c r="C171" s="640"/>
      <c r="E171" s="638"/>
      <c r="F171" s="638"/>
      <c r="G171" s="638"/>
      <c r="H171" s="638"/>
      <c r="I171" s="638"/>
      <c r="J171" s="638"/>
      <c r="K171" s="638"/>
      <c r="L171" s="638"/>
      <c r="M171" s="638"/>
      <c r="N171" s="638"/>
      <c r="O171" s="638"/>
      <c r="P171" s="638"/>
      <c r="Q171" s="638"/>
      <c r="R171" s="638"/>
      <c r="S171" s="345"/>
      <c r="U171" s="644"/>
      <c r="V171" s="644"/>
      <c r="W171" s="644"/>
      <c r="X171" s="644"/>
      <c r="Y171" s="644"/>
      <c r="Z171" s="644"/>
      <c r="AA171" s="644"/>
      <c r="AB171" s="644"/>
      <c r="AC171" s="644"/>
      <c r="AD171" s="644"/>
      <c r="AE171" s="644"/>
      <c r="AF171" s="644"/>
      <c r="AG171" s="644"/>
      <c r="AH171" s="644"/>
      <c r="AI171" s="644"/>
      <c r="AJ171" s="644"/>
      <c r="AK171" s="644"/>
      <c r="AL171" s="644"/>
      <c r="AM171" s="644"/>
      <c r="AN171" s="644"/>
      <c r="AO171" s="644"/>
      <c r="AP171" s="644"/>
      <c r="AQ171" s="644"/>
      <c r="AR171" s="644"/>
      <c r="AS171" s="644"/>
      <c r="AT171" s="644"/>
      <c r="AU171" s="644"/>
      <c r="AV171" s="644"/>
      <c r="AW171" s="644"/>
      <c r="AX171" s="644"/>
      <c r="AY171" s="644"/>
      <c r="AZ171" s="644"/>
      <c r="BA171" s="644"/>
      <c r="BB171" s="644"/>
      <c r="BC171" s="644"/>
      <c r="BD171" s="644"/>
      <c r="BE171" s="644"/>
      <c r="BF171" s="644"/>
      <c r="BG171" s="644"/>
      <c r="BH171" s="644"/>
      <c r="BI171" s="644"/>
      <c r="BJ171" s="644"/>
      <c r="BK171" s="644"/>
      <c r="BL171" s="644"/>
      <c r="BM171" s="644"/>
      <c r="BN171" s="644"/>
      <c r="BO171" s="644"/>
      <c r="BP171" s="644"/>
      <c r="BQ171" s="644"/>
      <c r="BR171" s="345"/>
    </row>
    <row r="172" spans="2:70" ht="6" customHeight="1">
      <c r="B172" s="645"/>
      <c r="C172" s="640"/>
      <c r="E172" s="638"/>
      <c r="F172" s="638"/>
      <c r="G172" s="638"/>
      <c r="H172" s="638"/>
      <c r="I172" s="638"/>
      <c r="J172" s="638"/>
      <c r="K172" s="638"/>
      <c r="L172" s="638"/>
      <c r="M172" s="638"/>
      <c r="N172" s="638"/>
      <c r="O172" s="638"/>
      <c r="P172" s="638"/>
      <c r="Q172" s="638"/>
      <c r="R172" s="638"/>
      <c r="S172" s="345"/>
      <c r="U172" s="644"/>
      <c r="V172" s="644"/>
      <c r="W172" s="644"/>
      <c r="X172" s="644"/>
      <c r="Y172" s="644"/>
      <c r="Z172" s="644"/>
      <c r="AA172" s="644"/>
      <c r="AB172" s="644"/>
      <c r="AC172" s="644"/>
      <c r="AD172" s="644"/>
      <c r="AE172" s="644"/>
      <c r="AF172" s="644"/>
      <c r="AG172" s="644"/>
      <c r="AH172" s="644"/>
      <c r="AI172" s="644"/>
      <c r="AJ172" s="644"/>
      <c r="AK172" s="644"/>
      <c r="AL172" s="644"/>
      <c r="AM172" s="644"/>
      <c r="AN172" s="644"/>
      <c r="AO172" s="644"/>
      <c r="AP172" s="644"/>
      <c r="AQ172" s="644"/>
      <c r="AR172" s="644"/>
      <c r="AS172" s="644"/>
      <c r="AT172" s="644"/>
      <c r="AU172" s="644"/>
      <c r="AV172" s="644"/>
      <c r="AW172" s="644"/>
      <c r="AX172" s="644"/>
      <c r="AY172" s="644"/>
      <c r="AZ172" s="644"/>
      <c r="BA172" s="644"/>
      <c r="BB172" s="644"/>
      <c r="BC172" s="644"/>
      <c r="BD172" s="644"/>
      <c r="BE172" s="644"/>
      <c r="BF172" s="644"/>
      <c r="BG172" s="644"/>
      <c r="BH172" s="644"/>
      <c r="BI172" s="644"/>
      <c r="BJ172" s="644"/>
      <c r="BK172" s="644"/>
      <c r="BL172" s="644"/>
      <c r="BM172" s="644"/>
      <c r="BN172" s="644"/>
      <c r="BO172" s="644"/>
      <c r="BP172" s="644"/>
      <c r="BQ172" s="644"/>
      <c r="BR172" s="345"/>
    </row>
    <row r="173" spans="2:70" ht="6" customHeight="1">
      <c r="B173" s="344"/>
      <c r="C173" s="341"/>
      <c r="D173" s="341"/>
      <c r="E173" s="341"/>
      <c r="F173" s="341"/>
      <c r="G173" s="341"/>
      <c r="H173" s="341"/>
      <c r="I173" s="341"/>
      <c r="J173" s="341"/>
      <c r="K173" s="341"/>
      <c r="L173" s="341"/>
      <c r="M173" s="341"/>
      <c r="N173" s="341"/>
      <c r="O173" s="341"/>
      <c r="P173" s="341"/>
      <c r="Q173" s="341"/>
      <c r="R173" s="341"/>
      <c r="S173" s="340"/>
      <c r="T173" s="341"/>
      <c r="U173" s="341"/>
      <c r="V173" s="341"/>
      <c r="W173" s="341"/>
      <c r="X173" s="341"/>
      <c r="Y173" s="341"/>
      <c r="Z173" s="341"/>
      <c r="AA173" s="341"/>
      <c r="AB173" s="341"/>
      <c r="AC173" s="341"/>
      <c r="AD173" s="341"/>
      <c r="AE173" s="341"/>
      <c r="AF173" s="341"/>
      <c r="AG173" s="341"/>
      <c r="AH173" s="341"/>
      <c r="AI173" s="341"/>
      <c r="AJ173" s="341"/>
      <c r="AK173" s="341"/>
      <c r="AL173" s="341"/>
      <c r="AM173" s="341"/>
      <c r="AN173" s="341"/>
      <c r="AO173" s="341"/>
      <c r="AP173" s="341"/>
      <c r="AQ173" s="341"/>
      <c r="AR173" s="341"/>
      <c r="AS173" s="341"/>
      <c r="AT173" s="341"/>
      <c r="AU173" s="341"/>
      <c r="AV173" s="341"/>
      <c r="AW173" s="341"/>
      <c r="AX173" s="341"/>
      <c r="AY173" s="341"/>
      <c r="AZ173" s="341"/>
      <c r="BA173" s="341"/>
      <c r="BB173" s="341"/>
      <c r="BC173" s="341"/>
      <c r="BD173" s="341"/>
      <c r="BE173" s="341"/>
      <c r="BF173" s="341"/>
      <c r="BG173" s="341"/>
      <c r="BH173" s="341"/>
      <c r="BI173" s="341"/>
      <c r="BJ173" s="341"/>
      <c r="BK173" s="341"/>
      <c r="BL173" s="341"/>
      <c r="BM173" s="341"/>
      <c r="BN173" s="341"/>
      <c r="BO173" s="341"/>
      <c r="BP173" s="341"/>
      <c r="BQ173" s="341"/>
      <c r="BR173" s="340"/>
    </row>
    <row r="174" spans="2:70" ht="6" customHeight="1">
      <c r="B174" s="348"/>
      <c r="S174" s="345"/>
      <c r="BR174" s="345"/>
    </row>
    <row r="175" spans="2:70" ht="6" customHeight="1">
      <c r="B175" s="645">
        <v>5</v>
      </c>
      <c r="C175" s="640"/>
      <c r="E175" s="638" t="s">
        <v>2996</v>
      </c>
      <c r="F175" s="638"/>
      <c r="G175" s="638"/>
      <c r="H175" s="638"/>
      <c r="I175" s="638"/>
      <c r="J175" s="638"/>
      <c r="K175" s="638"/>
      <c r="L175" s="638"/>
      <c r="M175" s="638"/>
      <c r="N175" s="638"/>
      <c r="O175" s="638"/>
      <c r="P175" s="638"/>
      <c r="Q175" s="638"/>
      <c r="R175" s="638"/>
      <c r="S175" s="345"/>
      <c r="U175" s="660" t="str">
        <f>U53&amp;""</f>
        <v/>
      </c>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0"/>
      <c r="AR175" s="660"/>
      <c r="AS175" s="660"/>
      <c r="AT175" s="660"/>
      <c r="AU175" s="660"/>
      <c r="AV175" s="660"/>
      <c r="AW175" s="660"/>
      <c r="AX175" s="660"/>
      <c r="AY175" s="660"/>
      <c r="AZ175" s="660"/>
      <c r="BA175" s="660"/>
      <c r="BB175" s="660"/>
      <c r="BC175" s="660"/>
      <c r="BD175" s="660"/>
      <c r="BE175" s="660"/>
      <c r="BF175" s="660"/>
      <c r="BG175" s="660"/>
      <c r="BH175" s="660"/>
      <c r="BI175" s="660"/>
      <c r="BJ175" s="660"/>
      <c r="BK175" s="660"/>
      <c r="BL175" s="660"/>
      <c r="BM175" s="660"/>
      <c r="BN175" s="352"/>
      <c r="BO175" s="352"/>
      <c r="BP175" s="352"/>
      <c r="BQ175" s="352"/>
      <c r="BR175" s="345"/>
    </row>
    <row r="176" spans="2:70" ht="6" customHeight="1">
      <c r="B176" s="645"/>
      <c r="C176" s="640"/>
      <c r="E176" s="638"/>
      <c r="F176" s="638"/>
      <c r="G176" s="638"/>
      <c r="H176" s="638"/>
      <c r="I176" s="638"/>
      <c r="J176" s="638"/>
      <c r="K176" s="638"/>
      <c r="L176" s="638"/>
      <c r="M176" s="638"/>
      <c r="N176" s="638"/>
      <c r="O176" s="638"/>
      <c r="P176" s="638"/>
      <c r="Q176" s="638"/>
      <c r="R176" s="638"/>
      <c r="S176" s="345"/>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0"/>
      <c r="AR176" s="660"/>
      <c r="AS176" s="660"/>
      <c r="AT176" s="660"/>
      <c r="AU176" s="660"/>
      <c r="AV176" s="660"/>
      <c r="AW176" s="660"/>
      <c r="AX176" s="660"/>
      <c r="AY176" s="660"/>
      <c r="AZ176" s="660"/>
      <c r="BA176" s="660"/>
      <c r="BB176" s="660"/>
      <c r="BC176" s="660"/>
      <c r="BD176" s="660"/>
      <c r="BE176" s="660"/>
      <c r="BF176" s="660"/>
      <c r="BG176" s="660"/>
      <c r="BH176" s="660"/>
      <c r="BI176" s="660"/>
      <c r="BJ176" s="660"/>
      <c r="BK176" s="660"/>
      <c r="BL176" s="660"/>
      <c r="BM176" s="660"/>
      <c r="BN176" s="352"/>
      <c r="BO176" s="352"/>
      <c r="BP176" s="352"/>
      <c r="BQ176" s="352"/>
      <c r="BR176" s="345"/>
    </row>
    <row r="177" spans="1:132" ht="6" customHeight="1">
      <c r="B177" s="645"/>
      <c r="C177" s="640"/>
      <c r="E177" s="638"/>
      <c r="F177" s="638"/>
      <c r="G177" s="638"/>
      <c r="H177" s="638"/>
      <c r="I177" s="638"/>
      <c r="J177" s="638"/>
      <c r="K177" s="638"/>
      <c r="L177" s="638"/>
      <c r="M177" s="638"/>
      <c r="N177" s="638"/>
      <c r="O177" s="638"/>
      <c r="P177" s="638"/>
      <c r="Q177" s="638"/>
      <c r="R177" s="638"/>
      <c r="S177" s="345"/>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0"/>
      <c r="AP177" s="660"/>
      <c r="AQ177" s="660"/>
      <c r="AR177" s="660"/>
      <c r="AS177" s="660"/>
      <c r="AT177" s="660"/>
      <c r="AU177" s="660"/>
      <c r="AV177" s="660"/>
      <c r="AW177" s="660"/>
      <c r="AX177" s="660"/>
      <c r="AY177" s="660"/>
      <c r="AZ177" s="660"/>
      <c r="BA177" s="660"/>
      <c r="BB177" s="660"/>
      <c r="BC177" s="660"/>
      <c r="BD177" s="660"/>
      <c r="BE177" s="660"/>
      <c r="BF177" s="660"/>
      <c r="BG177" s="660"/>
      <c r="BH177" s="660"/>
      <c r="BI177" s="660"/>
      <c r="BJ177" s="660"/>
      <c r="BK177" s="660"/>
      <c r="BL177" s="660"/>
      <c r="BM177" s="660"/>
      <c r="BN177" s="352"/>
      <c r="BO177" s="352"/>
      <c r="BP177" s="352"/>
      <c r="BQ177" s="352"/>
      <c r="BR177" s="345"/>
    </row>
    <row r="178" spans="1:132" ht="6" customHeight="1">
      <c r="B178" s="344"/>
      <c r="C178" s="341"/>
      <c r="D178" s="341"/>
      <c r="E178" s="341"/>
      <c r="F178" s="341"/>
      <c r="G178" s="341"/>
      <c r="H178" s="341"/>
      <c r="I178" s="341"/>
      <c r="J178" s="341"/>
      <c r="K178" s="341"/>
      <c r="L178" s="341"/>
      <c r="M178" s="341"/>
      <c r="N178" s="341"/>
      <c r="O178" s="341"/>
      <c r="P178" s="341"/>
      <c r="Q178" s="341"/>
      <c r="R178" s="341"/>
      <c r="S178" s="340"/>
      <c r="T178" s="341"/>
      <c r="U178" s="341"/>
      <c r="V178" s="341"/>
      <c r="W178" s="341"/>
      <c r="X178" s="341"/>
      <c r="Y178" s="341"/>
      <c r="Z178" s="341"/>
      <c r="AA178" s="341"/>
      <c r="AB178" s="341"/>
      <c r="AC178" s="341"/>
      <c r="AD178" s="341"/>
      <c r="AE178" s="341"/>
      <c r="AF178" s="341"/>
      <c r="AG178" s="341"/>
      <c r="AH178" s="341"/>
      <c r="AI178" s="341"/>
      <c r="AJ178" s="341"/>
      <c r="AK178" s="341"/>
      <c r="AL178" s="341"/>
      <c r="AM178" s="341"/>
      <c r="AN178" s="341"/>
      <c r="AO178" s="341"/>
      <c r="AP178" s="341"/>
      <c r="AQ178" s="341"/>
      <c r="AR178" s="341"/>
      <c r="AS178" s="341"/>
      <c r="AT178" s="341"/>
      <c r="AU178" s="341"/>
      <c r="AV178" s="341"/>
      <c r="AW178" s="341"/>
      <c r="AX178" s="341"/>
      <c r="AY178" s="341"/>
      <c r="AZ178" s="341"/>
      <c r="BA178" s="341"/>
      <c r="BB178" s="341"/>
      <c r="BC178" s="341"/>
      <c r="BD178" s="341"/>
      <c r="BE178" s="341"/>
      <c r="BF178" s="341"/>
      <c r="BG178" s="341"/>
      <c r="BH178" s="341"/>
      <c r="BI178" s="341"/>
      <c r="BJ178" s="341"/>
      <c r="BK178" s="341"/>
      <c r="BL178" s="341"/>
      <c r="BM178" s="341"/>
      <c r="BN178" s="341"/>
      <c r="BO178" s="341"/>
      <c r="BP178" s="341"/>
      <c r="BQ178" s="341"/>
      <c r="BR178" s="340"/>
    </row>
    <row r="179" spans="1:132" ht="6" customHeight="1">
      <c r="B179" s="355">
        <v>6</v>
      </c>
      <c r="O179" s="347"/>
      <c r="S179" s="345"/>
      <c r="Z179" s="369"/>
      <c r="AG179" s="345"/>
      <c r="BR179" s="345"/>
    </row>
    <row r="180" spans="1:132" ht="6" customHeight="1">
      <c r="B180" s="355"/>
      <c r="O180" s="347"/>
      <c r="S180" s="345"/>
      <c r="Z180" s="345"/>
      <c r="AG180" s="345"/>
      <c r="AI180" s="616" t="s">
        <v>2995</v>
      </c>
      <c r="AJ180" s="616"/>
      <c r="AK180" s="616"/>
      <c r="AL180" s="616"/>
      <c r="AM180" s="692" t="str">
        <f>AM58&amp;""</f>
        <v/>
      </c>
      <c r="AN180" s="692"/>
      <c r="AO180" s="692"/>
      <c r="AP180" s="692"/>
      <c r="AQ180" s="692"/>
      <c r="AR180" s="692"/>
      <c r="AS180" s="692"/>
      <c r="AT180" s="692"/>
      <c r="AU180" s="616" t="s">
        <v>2994</v>
      </c>
      <c r="AV180" s="616"/>
      <c r="AW180" s="616"/>
      <c r="AX180" s="616"/>
      <c r="AY180" s="616"/>
      <c r="AZ180" s="616"/>
      <c r="BA180" s="692" t="str">
        <f>BA58&amp;""</f>
        <v/>
      </c>
      <c r="BB180" s="692"/>
      <c r="BC180" s="692"/>
      <c r="BD180" s="692"/>
      <c r="BE180" s="692"/>
      <c r="BF180" s="692"/>
      <c r="BG180" s="692"/>
      <c r="BH180" s="692"/>
      <c r="BI180" s="692"/>
      <c r="BJ180" s="692"/>
      <c r="BK180" s="692"/>
      <c r="BL180" s="692"/>
      <c r="BM180" s="692"/>
      <c r="BN180" s="692"/>
      <c r="BO180" s="692"/>
      <c r="BP180" s="692"/>
      <c r="BQ180" s="640" t="s">
        <v>4</v>
      </c>
      <c r="BR180" s="345"/>
    </row>
    <row r="181" spans="1:132" ht="6" customHeight="1">
      <c r="B181" s="355"/>
      <c r="O181" s="347"/>
      <c r="S181" s="345"/>
      <c r="Z181" s="345"/>
      <c r="AG181" s="345"/>
      <c r="AI181" s="616"/>
      <c r="AJ181" s="616"/>
      <c r="AK181" s="616"/>
      <c r="AL181" s="616"/>
      <c r="AM181" s="692"/>
      <c r="AN181" s="692"/>
      <c r="AO181" s="692"/>
      <c r="AP181" s="692"/>
      <c r="AQ181" s="692"/>
      <c r="AR181" s="692"/>
      <c r="AS181" s="692"/>
      <c r="AT181" s="692"/>
      <c r="AU181" s="616"/>
      <c r="AV181" s="616"/>
      <c r="AW181" s="616"/>
      <c r="AX181" s="616"/>
      <c r="AY181" s="616"/>
      <c r="AZ181" s="616"/>
      <c r="BA181" s="692"/>
      <c r="BB181" s="692"/>
      <c r="BC181" s="692"/>
      <c r="BD181" s="692"/>
      <c r="BE181" s="692"/>
      <c r="BF181" s="692"/>
      <c r="BG181" s="692"/>
      <c r="BH181" s="692"/>
      <c r="BI181" s="692"/>
      <c r="BJ181" s="692"/>
      <c r="BK181" s="692"/>
      <c r="BL181" s="692"/>
      <c r="BM181" s="692"/>
      <c r="BN181" s="692"/>
      <c r="BO181" s="692"/>
      <c r="BP181" s="692"/>
      <c r="BQ181" s="640"/>
      <c r="BR181" s="345"/>
    </row>
    <row r="182" spans="1:132" ht="6" customHeight="1">
      <c r="B182" s="355"/>
      <c r="O182" s="347"/>
      <c r="S182" s="345"/>
      <c r="Z182" s="345"/>
      <c r="AG182" s="345"/>
      <c r="AH182" s="344"/>
      <c r="AI182" s="341"/>
      <c r="AJ182" s="341"/>
      <c r="AK182" s="341"/>
      <c r="AL182" s="341"/>
      <c r="AM182" s="341"/>
      <c r="AN182" s="341"/>
      <c r="AO182" s="341"/>
      <c r="AP182" s="341"/>
      <c r="AQ182" s="341"/>
      <c r="AR182" s="341"/>
      <c r="AS182" s="341"/>
      <c r="AT182" s="341"/>
      <c r="AU182" s="341"/>
      <c r="AV182" s="341"/>
      <c r="AW182" s="341"/>
      <c r="AX182" s="341"/>
      <c r="AY182" s="341"/>
      <c r="AZ182" s="341"/>
      <c r="BA182" s="341"/>
      <c r="BB182" s="341"/>
      <c r="BC182" s="341"/>
      <c r="BD182" s="341"/>
      <c r="BE182" s="341"/>
      <c r="BF182" s="341"/>
      <c r="BG182" s="341"/>
      <c r="BH182" s="341"/>
      <c r="BI182" s="341"/>
      <c r="BJ182" s="341"/>
      <c r="BK182" s="341"/>
      <c r="BL182" s="341"/>
      <c r="BM182" s="341"/>
      <c r="BN182" s="341"/>
      <c r="BO182" s="341"/>
      <c r="BP182" s="341"/>
      <c r="BQ182" s="341"/>
      <c r="BR182" s="340"/>
    </row>
    <row r="183" spans="1:132" ht="6" customHeight="1">
      <c r="B183" s="645">
        <v>6</v>
      </c>
      <c r="C183" s="640"/>
      <c r="E183" s="638" t="s">
        <v>2993</v>
      </c>
      <c r="F183" s="638"/>
      <c r="G183" s="638"/>
      <c r="H183" s="638"/>
      <c r="I183" s="638"/>
      <c r="J183" s="638"/>
      <c r="K183" s="638"/>
      <c r="L183" s="638"/>
      <c r="M183" s="638"/>
      <c r="N183" s="638"/>
      <c r="O183" s="638"/>
      <c r="P183" s="638"/>
      <c r="Q183" s="638"/>
      <c r="R183" s="638"/>
      <c r="S183" s="345"/>
      <c r="T183" s="693" t="str">
        <f>T61&amp;""</f>
        <v/>
      </c>
      <c r="U183" s="694"/>
      <c r="V183" s="694"/>
      <c r="W183" s="694"/>
      <c r="X183" s="655" t="s">
        <v>2989</v>
      </c>
      <c r="Y183" s="655"/>
      <c r="Z183" s="345"/>
      <c r="AA183" s="616" t="s">
        <v>2992</v>
      </c>
      <c r="AB183" s="616"/>
      <c r="AC183" s="616"/>
      <c r="AD183" s="616"/>
      <c r="AE183" s="616"/>
      <c r="AF183" s="616"/>
      <c r="AG183" s="656"/>
      <c r="AH183" s="368"/>
      <c r="AI183" s="368"/>
      <c r="AJ183" s="368"/>
      <c r="AK183" s="368"/>
      <c r="AL183" s="368"/>
      <c r="AM183" s="368"/>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c r="BM183" s="352"/>
      <c r="BN183" s="352"/>
      <c r="BO183" s="352"/>
      <c r="BP183" s="352"/>
      <c r="BQ183" s="352"/>
      <c r="BR183" s="345"/>
    </row>
    <row r="184" spans="1:132" ht="6" customHeight="1">
      <c r="B184" s="645"/>
      <c r="C184" s="640"/>
      <c r="E184" s="638"/>
      <c r="F184" s="638"/>
      <c r="G184" s="638"/>
      <c r="H184" s="638"/>
      <c r="I184" s="638"/>
      <c r="J184" s="638"/>
      <c r="K184" s="638"/>
      <c r="L184" s="638"/>
      <c r="M184" s="638"/>
      <c r="N184" s="638"/>
      <c r="O184" s="638"/>
      <c r="P184" s="638"/>
      <c r="Q184" s="638"/>
      <c r="R184" s="638"/>
      <c r="S184" s="345"/>
      <c r="T184" s="693"/>
      <c r="U184" s="694"/>
      <c r="V184" s="694"/>
      <c r="W184" s="694"/>
      <c r="X184" s="655"/>
      <c r="Y184" s="655"/>
      <c r="Z184" s="345"/>
      <c r="AA184" s="616"/>
      <c r="AB184" s="616"/>
      <c r="AC184" s="616"/>
      <c r="AD184" s="616"/>
      <c r="AE184" s="616"/>
      <c r="AF184" s="616"/>
      <c r="AG184" s="656"/>
      <c r="AH184" s="657" t="s">
        <v>2991</v>
      </c>
      <c r="AI184" s="658"/>
      <c r="AJ184" s="658"/>
      <c r="AK184" s="658"/>
      <c r="AL184" s="658"/>
      <c r="AM184" s="658"/>
      <c r="AN184" s="687" t="str">
        <f>AN62&amp;""</f>
        <v/>
      </c>
      <c r="AO184" s="687"/>
      <c r="AP184" s="687"/>
      <c r="AQ184" s="687"/>
      <c r="AR184" s="687"/>
      <c r="AS184" s="687"/>
      <c r="AT184" s="687"/>
      <c r="AU184" s="687"/>
      <c r="AV184" s="687"/>
      <c r="AW184" s="687"/>
      <c r="AX184" s="687"/>
      <c r="AY184" s="687"/>
      <c r="AZ184" s="687"/>
      <c r="BA184" s="687"/>
      <c r="BB184" s="687"/>
      <c r="BC184" s="687"/>
      <c r="BD184" s="687"/>
      <c r="BE184" s="687"/>
      <c r="BF184" s="687"/>
      <c r="BG184" s="687"/>
      <c r="BH184" s="687"/>
      <c r="BI184" s="687"/>
      <c r="BJ184" s="687"/>
      <c r="BK184" s="687"/>
      <c r="BL184" s="687"/>
      <c r="BM184" s="687"/>
      <c r="BN184" s="687"/>
      <c r="BO184" s="687"/>
      <c r="BP184" s="687"/>
      <c r="BQ184" s="687"/>
      <c r="BR184" s="695"/>
    </row>
    <row r="185" spans="1:132" ht="6" customHeight="1">
      <c r="B185" s="645"/>
      <c r="C185" s="640"/>
      <c r="E185" s="638"/>
      <c r="F185" s="638"/>
      <c r="G185" s="638"/>
      <c r="H185" s="638"/>
      <c r="I185" s="638"/>
      <c r="J185" s="638"/>
      <c r="K185" s="638"/>
      <c r="L185" s="638"/>
      <c r="M185" s="638"/>
      <c r="N185" s="638"/>
      <c r="O185" s="638"/>
      <c r="P185" s="638"/>
      <c r="Q185" s="638"/>
      <c r="R185" s="638"/>
      <c r="S185" s="345"/>
      <c r="T185" s="693"/>
      <c r="U185" s="694"/>
      <c r="V185" s="694"/>
      <c r="W185" s="694"/>
      <c r="X185" s="655"/>
      <c r="Y185" s="655"/>
      <c r="Z185" s="345"/>
      <c r="AA185" s="616"/>
      <c r="AB185" s="616"/>
      <c r="AC185" s="616"/>
      <c r="AD185" s="616"/>
      <c r="AE185" s="616"/>
      <c r="AF185" s="616"/>
      <c r="AG185" s="656"/>
      <c r="AH185" s="657"/>
      <c r="AI185" s="658"/>
      <c r="AJ185" s="658"/>
      <c r="AK185" s="658"/>
      <c r="AL185" s="658"/>
      <c r="AM185" s="658"/>
      <c r="AN185" s="687"/>
      <c r="AO185" s="687"/>
      <c r="AP185" s="687"/>
      <c r="AQ185" s="687"/>
      <c r="AR185" s="687"/>
      <c r="AS185" s="687"/>
      <c r="AT185" s="687"/>
      <c r="AU185" s="687"/>
      <c r="AV185" s="687"/>
      <c r="AW185" s="687"/>
      <c r="AX185" s="687"/>
      <c r="AY185" s="687"/>
      <c r="AZ185" s="687"/>
      <c r="BA185" s="687"/>
      <c r="BB185" s="687"/>
      <c r="BC185" s="687"/>
      <c r="BD185" s="687"/>
      <c r="BE185" s="687"/>
      <c r="BF185" s="687"/>
      <c r="BG185" s="687"/>
      <c r="BH185" s="687"/>
      <c r="BI185" s="687"/>
      <c r="BJ185" s="687"/>
      <c r="BK185" s="687"/>
      <c r="BL185" s="687"/>
      <c r="BM185" s="687"/>
      <c r="BN185" s="687"/>
      <c r="BO185" s="687"/>
      <c r="BP185" s="687"/>
      <c r="BQ185" s="687"/>
      <c r="BR185" s="695"/>
    </row>
    <row r="186" spans="1:132" ht="6" customHeight="1">
      <c r="B186" s="645"/>
      <c r="C186" s="640"/>
      <c r="E186" s="638"/>
      <c r="F186" s="638"/>
      <c r="G186" s="638"/>
      <c r="H186" s="638"/>
      <c r="I186" s="638"/>
      <c r="J186" s="638"/>
      <c r="K186" s="638"/>
      <c r="L186" s="638"/>
      <c r="M186" s="638"/>
      <c r="N186" s="638"/>
      <c r="O186" s="638"/>
      <c r="P186" s="638"/>
      <c r="Q186" s="638"/>
      <c r="R186" s="638"/>
      <c r="S186" s="345"/>
      <c r="T186" s="693"/>
      <c r="U186" s="694"/>
      <c r="V186" s="694"/>
      <c r="W186" s="694"/>
      <c r="X186" s="655"/>
      <c r="Y186" s="655"/>
      <c r="Z186" s="345"/>
      <c r="AA186" s="616"/>
      <c r="AB186" s="616"/>
      <c r="AC186" s="616"/>
      <c r="AD186" s="616"/>
      <c r="AE186" s="616"/>
      <c r="AF186" s="616"/>
      <c r="AG186" s="656"/>
      <c r="AI186" s="696" t="str">
        <f>AI64&amp;""</f>
        <v/>
      </c>
      <c r="AJ186" s="696"/>
      <c r="AK186" s="696"/>
      <c r="AL186" s="696"/>
      <c r="AM186" s="696"/>
      <c r="AN186" s="696"/>
      <c r="AO186" s="696"/>
      <c r="AP186" s="696"/>
      <c r="AQ186" s="696"/>
      <c r="AR186" s="696"/>
      <c r="AS186" s="696"/>
      <c r="AT186" s="696"/>
      <c r="AU186" s="696"/>
      <c r="AV186" s="696"/>
      <c r="AW186" s="696"/>
      <c r="AX186" s="696"/>
      <c r="AY186" s="696"/>
      <c r="AZ186" s="696"/>
      <c r="BA186" s="696"/>
      <c r="BB186" s="696"/>
      <c r="BC186" s="696"/>
      <c r="BD186" s="696"/>
      <c r="BE186" s="696"/>
      <c r="BF186" s="696"/>
      <c r="BG186" s="696"/>
      <c r="BH186" s="696"/>
      <c r="BI186" s="696"/>
      <c r="BJ186" s="696"/>
      <c r="BK186" s="696"/>
      <c r="BL186" s="696"/>
      <c r="BM186" s="696"/>
      <c r="BN186" s="696"/>
      <c r="BO186" s="696"/>
      <c r="BP186" s="696"/>
      <c r="BQ186" s="696"/>
      <c r="BR186" s="697"/>
    </row>
    <row r="187" spans="1:132" ht="6" customHeight="1">
      <c r="A187" s="345"/>
      <c r="S187" s="345"/>
      <c r="Z187" s="345"/>
      <c r="AG187" s="345"/>
      <c r="AI187" s="696"/>
      <c r="AJ187" s="696"/>
      <c r="AK187" s="696"/>
      <c r="AL187" s="696"/>
      <c r="AM187" s="696"/>
      <c r="AN187" s="696"/>
      <c r="AO187" s="696"/>
      <c r="AP187" s="696"/>
      <c r="AQ187" s="696"/>
      <c r="AR187" s="696"/>
      <c r="AS187" s="696"/>
      <c r="AT187" s="696"/>
      <c r="AU187" s="696"/>
      <c r="AV187" s="696"/>
      <c r="AW187" s="696"/>
      <c r="AX187" s="696"/>
      <c r="AY187" s="696"/>
      <c r="AZ187" s="696"/>
      <c r="BA187" s="696"/>
      <c r="BB187" s="696"/>
      <c r="BC187" s="696"/>
      <c r="BD187" s="696"/>
      <c r="BE187" s="696"/>
      <c r="BF187" s="696"/>
      <c r="BG187" s="696"/>
      <c r="BH187" s="696"/>
      <c r="BI187" s="696"/>
      <c r="BJ187" s="696"/>
      <c r="BK187" s="696"/>
      <c r="BL187" s="696"/>
      <c r="BM187" s="696"/>
      <c r="BN187" s="696"/>
      <c r="BO187" s="696"/>
      <c r="BP187" s="696"/>
      <c r="BQ187" s="696"/>
      <c r="BR187" s="697"/>
    </row>
    <row r="188" spans="1:132" ht="6" customHeight="1">
      <c r="A188" s="345"/>
      <c r="S188" s="345"/>
      <c r="Z188" s="345"/>
      <c r="AG188" s="345"/>
      <c r="AI188" s="696" t="str">
        <f>AI66&amp;""</f>
        <v/>
      </c>
      <c r="AJ188" s="696"/>
      <c r="AK188" s="696"/>
      <c r="AL188" s="696"/>
      <c r="AM188" s="696"/>
      <c r="AN188" s="696"/>
      <c r="AO188" s="696"/>
      <c r="AP188" s="696"/>
      <c r="AQ188" s="696"/>
      <c r="AR188" s="696"/>
      <c r="AS188" s="696"/>
      <c r="AT188" s="696"/>
      <c r="AU188" s="696"/>
      <c r="AV188" s="696"/>
      <c r="AW188" s="696"/>
      <c r="AX188" s="696"/>
      <c r="AY188" s="696"/>
      <c r="AZ188" s="696"/>
      <c r="BA188" s="696"/>
      <c r="BB188" s="696"/>
      <c r="BC188" s="696"/>
      <c r="BD188" s="696"/>
      <c r="BE188" s="696"/>
      <c r="BF188" s="696"/>
      <c r="BG188" s="696"/>
      <c r="BH188" s="696"/>
      <c r="BI188" s="696"/>
      <c r="BJ188" s="696"/>
      <c r="BK188" s="696"/>
      <c r="BL188" s="696"/>
      <c r="BM188" s="696"/>
      <c r="BN188" s="696"/>
      <c r="BO188" s="696"/>
      <c r="BP188" s="696"/>
      <c r="BQ188" s="696"/>
      <c r="BR188" s="697"/>
    </row>
    <row r="189" spans="1:132" ht="6" customHeight="1">
      <c r="A189" s="345"/>
      <c r="S189" s="345"/>
      <c r="Z189" s="345"/>
      <c r="AG189" s="345"/>
      <c r="AI189" s="696"/>
      <c r="AJ189" s="696"/>
      <c r="AK189" s="696"/>
      <c r="AL189" s="696"/>
      <c r="AM189" s="696"/>
      <c r="AN189" s="696"/>
      <c r="AO189" s="696"/>
      <c r="AP189" s="696"/>
      <c r="AQ189" s="696"/>
      <c r="AR189" s="696"/>
      <c r="AS189" s="696"/>
      <c r="AT189" s="696"/>
      <c r="AU189" s="696"/>
      <c r="AV189" s="696"/>
      <c r="AW189" s="696"/>
      <c r="AX189" s="696"/>
      <c r="AY189" s="696"/>
      <c r="AZ189" s="696"/>
      <c r="BA189" s="696"/>
      <c r="BB189" s="696"/>
      <c r="BC189" s="696"/>
      <c r="BD189" s="696"/>
      <c r="BE189" s="696"/>
      <c r="BF189" s="696"/>
      <c r="BG189" s="696"/>
      <c r="BH189" s="696"/>
      <c r="BI189" s="696"/>
      <c r="BJ189" s="696"/>
      <c r="BK189" s="696"/>
      <c r="BL189" s="696"/>
      <c r="BM189" s="696"/>
      <c r="BN189" s="696"/>
      <c r="BO189" s="696"/>
      <c r="BP189" s="696"/>
      <c r="BQ189" s="696"/>
      <c r="BR189" s="697"/>
    </row>
    <row r="190" spans="1:132" ht="6" customHeight="1">
      <c r="B190" s="355"/>
      <c r="O190" s="347"/>
      <c r="P190" s="367"/>
      <c r="Q190" s="367"/>
      <c r="R190" s="347"/>
      <c r="S190" s="345"/>
      <c r="Z190" s="345"/>
      <c r="AG190" s="345"/>
      <c r="AI190" s="696" t="str">
        <f>AI68&amp;""</f>
        <v/>
      </c>
      <c r="AJ190" s="696"/>
      <c r="AK190" s="696"/>
      <c r="AL190" s="696"/>
      <c r="AM190" s="696"/>
      <c r="AN190" s="696"/>
      <c r="AO190" s="696"/>
      <c r="AP190" s="696"/>
      <c r="AQ190" s="696"/>
      <c r="AR190" s="696"/>
      <c r="AS190" s="696"/>
      <c r="AT190" s="696"/>
      <c r="AU190" s="696"/>
      <c r="AV190" s="696"/>
      <c r="AW190" s="696"/>
      <c r="AX190" s="696"/>
      <c r="AY190" s="696"/>
      <c r="AZ190" s="696"/>
      <c r="BA190" s="696"/>
      <c r="BB190" s="696"/>
      <c r="BC190" s="696"/>
      <c r="BD190" s="696"/>
      <c r="BE190" s="696"/>
      <c r="BF190" s="696"/>
      <c r="BG190" s="696"/>
      <c r="BH190" s="696"/>
      <c r="BI190" s="696"/>
      <c r="BJ190" s="696"/>
      <c r="BK190" s="696"/>
      <c r="BL190" s="696"/>
      <c r="BM190" s="696"/>
      <c r="BN190" s="696"/>
      <c r="BO190" s="696"/>
      <c r="BP190" s="696"/>
      <c r="BQ190" s="696"/>
      <c r="BR190" s="697"/>
    </row>
    <row r="191" spans="1:132" ht="6" customHeight="1">
      <c r="B191" s="355"/>
      <c r="O191" s="347"/>
      <c r="P191" s="367"/>
      <c r="Q191" s="367"/>
      <c r="R191" s="347"/>
      <c r="S191" s="345"/>
      <c r="Z191" s="345"/>
      <c r="AG191" s="345"/>
      <c r="AI191" s="696"/>
      <c r="AJ191" s="696"/>
      <c r="AK191" s="696"/>
      <c r="AL191" s="696"/>
      <c r="AM191" s="696"/>
      <c r="AN191" s="696"/>
      <c r="AO191" s="696"/>
      <c r="AP191" s="696"/>
      <c r="AQ191" s="696"/>
      <c r="AR191" s="696"/>
      <c r="AS191" s="696"/>
      <c r="AT191" s="696"/>
      <c r="AU191" s="696"/>
      <c r="AV191" s="696"/>
      <c r="AW191" s="696"/>
      <c r="AX191" s="696"/>
      <c r="AY191" s="696"/>
      <c r="AZ191" s="696"/>
      <c r="BA191" s="696"/>
      <c r="BB191" s="696"/>
      <c r="BC191" s="696"/>
      <c r="BD191" s="696"/>
      <c r="BE191" s="696"/>
      <c r="BF191" s="696"/>
      <c r="BG191" s="696"/>
      <c r="BH191" s="696"/>
      <c r="BI191" s="696"/>
      <c r="BJ191" s="696"/>
      <c r="BK191" s="696"/>
      <c r="BL191" s="696"/>
      <c r="BM191" s="696"/>
      <c r="BN191" s="696"/>
      <c r="BO191" s="696"/>
      <c r="BP191" s="696"/>
      <c r="BQ191" s="696"/>
      <c r="BR191" s="697"/>
      <c r="DE191" s="349"/>
      <c r="DF191" s="349"/>
      <c r="DG191" s="349"/>
      <c r="DH191" s="349"/>
      <c r="DI191" s="349"/>
      <c r="DJ191" s="349"/>
      <c r="DK191" s="349"/>
      <c r="DL191" s="349"/>
      <c r="DM191" s="349"/>
      <c r="DN191" s="349"/>
      <c r="DO191" s="349"/>
      <c r="DP191" s="349"/>
      <c r="DQ191" s="349"/>
      <c r="DR191" s="349"/>
      <c r="DS191" s="349"/>
      <c r="DT191" s="349"/>
      <c r="DU191" s="349"/>
      <c r="DV191" s="349"/>
      <c r="DW191" s="349"/>
      <c r="DX191" s="349"/>
      <c r="DY191" s="349"/>
      <c r="DZ191" s="349"/>
      <c r="EA191" s="349"/>
      <c r="EB191" s="349"/>
    </row>
    <row r="192" spans="1:132" ht="6" customHeight="1">
      <c r="B192" s="355"/>
      <c r="O192" s="347"/>
      <c r="P192" s="367"/>
      <c r="Q192" s="367"/>
      <c r="R192" s="347"/>
      <c r="S192" s="345"/>
      <c r="Z192" s="345"/>
      <c r="AG192" s="345"/>
      <c r="AI192" s="625" t="s">
        <v>2990</v>
      </c>
      <c r="AJ192" s="625"/>
      <c r="AK192" s="625"/>
      <c r="AL192" s="625"/>
      <c r="AM192" s="625"/>
      <c r="AN192" s="625"/>
      <c r="AO192" s="625"/>
      <c r="AP192" s="698" t="str">
        <f>AP70&amp;""</f>
        <v/>
      </c>
      <c r="AQ192" s="699"/>
      <c r="AR192" s="699"/>
      <c r="AS192" s="699"/>
      <c r="AT192" s="699"/>
      <c r="AU192" s="625" t="s">
        <v>2989</v>
      </c>
      <c r="AV192" s="625"/>
      <c r="AW192" s="625"/>
      <c r="AX192" s="625" t="s">
        <v>2988</v>
      </c>
      <c r="AY192" s="625"/>
      <c r="AZ192" s="625"/>
      <c r="BA192" s="625"/>
      <c r="BB192" s="699" t="str">
        <f>BB70&amp;""</f>
        <v/>
      </c>
      <c r="BC192" s="699"/>
      <c r="BD192" s="699"/>
      <c r="BE192" s="699"/>
      <c r="BF192" s="699"/>
      <c r="BG192" s="699"/>
      <c r="BH192" s="625" t="s">
        <v>2975</v>
      </c>
      <c r="BI192" s="625"/>
      <c r="BJ192" s="625"/>
      <c r="BK192" s="625"/>
      <c r="BL192" s="366"/>
      <c r="BM192" s="366"/>
      <c r="BN192" s="366"/>
      <c r="BO192" s="366"/>
      <c r="BP192" s="366"/>
      <c r="BQ192" s="366"/>
      <c r="BR192" s="365"/>
      <c r="DE192" s="349"/>
      <c r="DF192" s="349"/>
      <c r="DG192" s="349"/>
      <c r="DH192" s="349"/>
      <c r="DI192" s="349"/>
      <c r="DJ192" s="349"/>
      <c r="DK192" s="349"/>
      <c r="DL192" s="349"/>
      <c r="DM192" s="349"/>
      <c r="DN192" s="349"/>
      <c r="DO192" s="349"/>
      <c r="DP192" s="349"/>
      <c r="DQ192" s="349"/>
      <c r="DR192" s="349"/>
      <c r="DS192" s="349"/>
      <c r="DT192" s="349"/>
      <c r="DU192" s="349"/>
      <c r="DV192" s="349"/>
      <c r="DW192" s="349"/>
      <c r="DX192" s="349"/>
      <c r="DY192" s="349"/>
      <c r="DZ192" s="349"/>
      <c r="EA192" s="349"/>
      <c r="EB192" s="349"/>
    </row>
    <row r="193" spans="2:132" ht="6" customHeight="1">
      <c r="B193" s="358"/>
      <c r="C193" s="341"/>
      <c r="D193" s="341"/>
      <c r="E193" s="341"/>
      <c r="F193" s="341"/>
      <c r="G193" s="341"/>
      <c r="H193" s="341"/>
      <c r="I193" s="341"/>
      <c r="J193" s="341"/>
      <c r="K193" s="341"/>
      <c r="L193" s="341"/>
      <c r="M193" s="341"/>
      <c r="N193" s="341"/>
      <c r="O193" s="343"/>
      <c r="P193" s="364"/>
      <c r="Q193" s="364"/>
      <c r="R193" s="343"/>
      <c r="S193" s="340"/>
      <c r="T193" s="341"/>
      <c r="U193" s="341"/>
      <c r="V193" s="341"/>
      <c r="W193" s="341"/>
      <c r="X193" s="341"/>
      <c r="Y193" s="341"/>
      <c r="Z193" s="340"/>
      <c r="AA193" s="341"/>
      <c r="AB193" s="341"/>
      <c r="AC193" s="341"/>
      <c r="AD193" s="341"/>
      <c r="AE193" s="341"/>
      <c r="AF193" s="341"/>
      <c r="AG193" s="340"/>
      <c r="AH193" s="341"/>
      <c r="AI193" s="626"/>
      <c r="AJ193" s="626"/>
      <c r="AK193" s="626"/>
      <c r="AL193" s="626"/>
      <c r="AM193" s="626"/>
      <c r="AN193" s="626"/>
      <c r="AO193" s="626"/>
      <c r="AP193" s="700"/>
      <c r="AQ193" s="700"/>
      <c r="AR193" s="700"/>
      <c r="AS193" s="700"/>
      <c r="AT193" s="700"/>
      <c r="AU193" s="626"/>
      <c r="AV193" s="626"/>
      <c r="AW193" s="626"/>
      <c r="AX193" s="626"/>
      <c r="AY193" s="626"/>
      <c r="AZ193" s="626"/>
      <c r="BA193" s="626"/>
      <c r="BB193" s="700"/>
      <c r="BC193" s="700"/>
      <c r="BD193" s="700"/>
      <c r="BE193" s="700"/>
      <c r="BF193" s="700"/>
      <c r="BG193" s="700"/>
      <c r="BH193" s="626"/>
      <c r="BI193" s="626"/>
      <c r="BJ193" s="626"/>
      <c r="BK193" s="626"/>
      <c r="BL193" s="363"/>
      <c r="BM193" s="363"/>
      <c r="BN193" s="363"/>
      <c r="BO193" s="363"/>
      <c r="BP193" s="363"/>
      <c r="BQ193" s="363"/>
      <c r="BR193" s="362"/>
      <c r="DE193" s="349"/>
      <c r="DF193" s="349"/>
      <c r="DG193" s="349"/>
      <c r="DH193" s="349"/>
      <c r="DI193" s="349"/>
      <c r="DJ193" s="349"/>
      <c r="DK193" s="349"/>
      <c r="DL193" s="349"/>
      <c r="DM193" s="349"/>
      <c r="DN193" s="349"/>
      <c r="DO193" s="349"/>
      <c r="DP193" s="349"/>
      <c r="DQ193" s="349"/>
      <c r="DR193" s="349"/>
      <c r="DS193" s="349"/>
      <c r="DT193" s="349"/>
      <c r="DU193" s="349"/>
      <c r="DV193" s="349"/>
      <c r="DW193" s="349"/>
      <c r="DX193" s="349"/>
      <c r="DY193" s="349"/>
      <c r="DZ193" s="349"/>
      <c r="EA193" s="349"/>
      <c r="EB193" s="349"/>
    </row>
    <row r="194" spans="2:132" ht="6" customHeight="1">
      <c r="B194" s="348"/>
      <c r="S194" s="345"/>
      <c r="BR194" s="345"/>
      <c r="DE194" s="349"/>
      <c r="DF194" s="349"/>
      <c r="DG194" s="349"/>
      <c r="DH194" s="349"/>
      <c r="DI194" s="349"/>
      <c r="DJ194" s="349"/>
      <c r="DK194" s="349"/>
      <c r="DL194" s="349"/>
      <c r="DM194" s="349"/>
      <c r="DN194" s="349"/>
      <c r="DO194" s="349"/>
      <c r="DP194" s="349"/>
      <c r="DQ194" s="349"/>
      <c r="DR194" s="349"/>
      <c r="DS194" s="349"/>
      <c r="DT194" s="349"/>
      <c r="DU194" s="349"/>
      <c r="DV194" s="349"/>
      <c r="DW194" s="349"/>
      <c r="DX194" s="349"/>
      <c r="DY194" s="349"/>
      <c r="DZ194" s="349"/>
      <c r="EA194" s="349"/>
      <c r="EB194" s="349"/>
    </row>
    <row r="195" spans="2:132" ht="6" customHeight="1">
      <c r="B195" s="645">
        <v>7</v>
      </c>
      <c r="C195" s="640"/>
      <c r="E195" s="661" t="s">
        <v>2987</v>
      </c>
      <c r="F195" s="661"/>
      <c r="G195" s="661"/>
      <c r="H195" s="661"/>
      <c r="I195" s="661"/>
      <c r="J195" s="661"/>
      <c r="K195" s="661"/>
      <c r="L195" s="661"/>
      <c r="M195" s="661"/>
      <c r="N195" s="661"/>
      <c r="O195" s="661"/>
      <c r="P195" s="661"/>
      <c r="Q195" s="661"/>
      <c r="R195" s="661"/>
      <c r="S195" s="662"/>
      <c r="Z195" s="689" t="str">
        <f>Z73&amp;""</f>
        <v/>
      </c>
      <c r="AA195" s="689"/>
      <c r="AB195" s="655" t="s">
        <v>2986</v>
      </c>
      <c r="AC195" s="655"/>
      <c r="AD195" s="655"/>
      <c r="AE195" s="655"/>
      <c r="AF195" s="655"/>
      <c r="AG195" s="655"/>
      <c r="AH195" s="655"/>
      <c r="AI195" s="655"/>
      <c r="AJ195" s="655"/>
      <c r="AK195" s="640" t="s">
        <v>2985</v>
      </c>
      <c r="AL195" s="640"/>
      <c r="AN195" s="689" t="str">
        <f>AN73&amp;""</f>
        <v>〇</v>
      </c>
      <c r="AO195" s="689"/>
      <c r="AP195" s="655" t="s">
        <v>2984</v>
      </c>
      <c r="AQ195" s="655"/>
      <c r="AR195" s="655"/>
      <c r="AS195" s="655"/>
      <c r="AT195" s="655"/>
      <c r="AU195" s="655"/>
      <c r="AV195" s="655"/>
      <c r="AW195" s="655"/>
      <c r="AX195" s="655"/>
      <c r="BR195" s="345"/>
      <c r="CA195" s="352"/>
      <c r="CB195" s="352"/>
      <c r="CC195" s="352"/>
      <c r="CD195" s="352"/>
      <c r="CE195" s="352"/>
      <c r="CF195" s="352"/>
      <c r="CG195" s="352"/>
      <c r="CH195" s="352"/>
      <c r="CI195" s="352"/>
      <c r="CJ195" s="352"/>
      <c r="CK195" s="352"/>
      <c r="CL195" s="352"/>
      <c r="CM195" s="352"/>
      <c r="CN195" s="352"/>
      <c r="CO195" s="352"/>
      <c r="CP195" s="352"/>
      <c r="CQ195" s="352"/>
      <c r="CR195" s="352"/>
      <c r="CS195" s="352"/>
      <c r="CT195" s="352"/>
      <c r="CU195" s="352"/>
      <c r="CV195" s="352"/>
      <c r="CW195" s="352"/>
      <c r="CX195" s="352"/>
      <c r="CY195" s="352"/>
      <c r="CZ195" s="352"/>
      <c r="DA195" s="352"/>
      <c r="DB195" s="352"/>
      <c r="DC195" s="352"/>
      <c r="DD195" s="352"/>
      <c r="DE195" s="349"/>
      <c r="DF195" s="349"/>
      <c r="DG195" s="349"/>
      <c r="DH195" s="349"/>
      <c r="DI195" s="349"/>
      <c r="DJ195" s="349"/>
      <c r="DK195" s="349"/>
      <c r="DL195" s="349"/>
      <c r="DM195" s="349"/>
      <c r="DN195" s="349"/>
      <c r="DO195" s="349"/>
      <c r="DP195" s="349"/>
      <c r="DQ195" s="349"/>
      <c r="DR195" s="349"/>
      <c r="DS195" s="349"/>
      <c r="DT195" s="349"/>
      <c r="DU195" s="349"/>
      <c r="DV195" s="349"/>
      <c r="DW195" s="349"/>
      <c r="DX195" s="349"/>
      <c r="DY195" s="349"/>
      <c r="DZ195" s="349"/>
      <c r="EA195" s="349"/>
      <c r="EB195" s="349"/>
    </row>
    <row r="196" spans="2:132" ht="6" customHeight="1">
      <c r="B196" s="645"/>
      <c r="C196" s="640"/>
      <c r="E196" s="661"/>
      <c r="F196" s="661"/>
      <c r="G196" s="661"/>
      <c r="H196" s="661"/>
      <c r="I196" s="661"/>
      <c r="J196" s="661"/>
      <c r="K196" s="661"/>
      <c r="L196" s="661"/>
      <c r="M196" s="661"/>
      <c r="N196" s="661"/>
      <c r="O196" s="661"/>
      <c r="P196" s="661"/>
      <c r="Q196" s="661"/>
      <c r="R196" s="661"/>
      <c r="S196" s="662"/>
      <c r="Z196" s="689"/>
      <c r="AA196" s="689"/>
      <c r="AB196" s="655"/>
      <c r="AC196" s="655"/>
      <c r="AD196" s="655"/>
      <c r="AE196" s="655"/>
      <c r="AF196" s="655"/>
      <c r="AG196" s="655"/>
      <c r="AH196" s="655"/>
      <c r="AI196" s="655"/>
      <c r="AJ196" s="655"/>
      <c r="AK196" s="640"/>
      <c r="AL196" s="640"/>
      <c r="AN196" s="689"/>
      <c r="AO196" s="689"/>
      <c r="AP196" s="655"/>
      <c r="AQ196" s="655"/>
      <c r="AR196" s="655"/>
      <c r="AS196" s="655"/>
      <c r="AT196" s="655"/>
      <c r="AU196" s="655"/>
      <c r="AV196" s="655"/>
      <c r="AW196" s="655"/>
      <c r="AX196" s="655"/>
      <c r="BR196" s="345"/>
      <c r="CA196" s="352"/>
      <c r="CB196" s="352"/>
      <c r="CC196" s="352"/>
      <c r="CD196" s="352"/>
      <c r="CE196" s="352"/>
      <c r="CF196" s="352"/>
      <c r="CG196" s="352"/>
      <c r="CH196" s="352"/>
      <c r="CI196" s="352"/>
      <c r="CJ196" s="352"/>
      <c r="CK196" s="352"/>
      <c r="CL196" s="352"/>
      <c r="CM196" s="352"/>
      <c r="CN196" s="352"/>
      <c r="CO196" s="352"/>
      <c r="CP196" s="352"/>
      <c r="CQ196" s="352"/>
      <c r="CR196" s="352"/>
      <c r="CS196" s="352"/>
      <c r="CT196" s="352"/>
      <c r="CU196" s="352"/>
      <c r="CV196" s="352"/>
      <c r="CW196" s="352"/>
      <c r="CX196" s="352"/>
      <c r="CY196" s="352"/>
      <c r="CZ196" s="352"/>
      <c r="DA196" s="352"/>
      <c r="DB196" s="352"/>
      <c r="DC196" s="352"/>
      <c r="DD196" s="352"/>
      <c r="DE196" s="349"/>
      <c r="DF196" s="349"/>
      <c r="DG196" s="349"/>
      <c r="DH196" s="349"/>
      <c r="DI196" s="349"/>
      <c r="DJ196" s="349"/>
      <c r="DK196" s="349"/>
      <c r="DL196" s="349"/>
      <c r="DM196" s="349"/>
      <c r="DN196" s="349"/>
      <c r="DO196" s="349"/>
      <c r="DP196" s="349"/>
      <c r="DQ196" s="349"/>
      <c r="DR196" s="349"/>
      <c r="DS196" s="349"/>
      <c r="DT196" s="349"/>
      <c r="DU196" s="349"/>
      <c r="DV196" s="349"/>
      <c r="DW196" s="349"/>
      <c r="DX196" s="349"/>
      <c r="DY196" s="349"/>
      <c r="DZ196" s="349"/>
      <c r="EA196" s="349"/>
      <c r="EB196" s="349"/>
    </row>
    <row r="197" spans="2:132" ht="6" customHeight="1">
      <c r="B197" s="344"/>
      <c r="C197" s="341"/>
      <c r="D197" s="341"/>
      <c r="E197" s="341"/>
      <c r="F197" s="341"/>
      <c r="G197" s="341"/>
      <c r="H197" s="341"/>
      <c r="I197" s="341"/>
      <c r="J197" s="341"/>
      <c r="K197" s="341"/>
      <c r="L197" s="341"/>
      <c r="M197" s="341"/>
      <c r="N197" s="341"/>
      <c r="O197" s="341"/>
      <c r="P197" s="341"/>
      <c r="Q197" s="341"/>
      <c r="R197" s="341"/>
      <c r="S197" s="340"/>
      <c r="T197" s="341"/>
      <c r="U197" s="341"/>
      <c r="V197" s="341"/>
      <c r="W197" s="341"/>
      <c r="X197" s="341"/>
      <c r="Y197" s="341"/>
      <c r="Z197" s="341"/>
      <c r="AA197" s="341"/>
      <c r="AB197" s="341"/>
      <c r="AC197" s="341"/>
      <c r="AD197" s="341"/>
      <c r="AE197" s="341"/>
      <c r="AF197" s="341"/>
      <c r="AG197" s="341"/>
      <c r="AH197" s="341"/>
      <c r="AI197" s="341"/>
      <c r="AJ197" s="341"/>
      <c r="AK197" s="341"/>
      <c r="AL197" s="341"/>
      <c r="AM197" s="341"/>
      <c r="AN197" s="341"/>
      <c r="AO197" s="341"/>
      <c r="AP197" s="341"/>
      <c r="AQ197" s="341"/>
      <c r="AR197" s="341"/>
      <c r="AS197" s="341"/>
      <c r="AT197" s="341"/>
      <c r="AU197" s="341"/>
      <c r="AV197" s="341"/>
      <c r="AW197" s="341"/>
      <c r="AX197" s="341"/>
      <c r="AY197" s="341"/>
      <c r="AZ197" s="341"/>
      <c r="BA197" s="341"/>
      <c r="BB197" s="341"/>
      <c r="BC197" s="341"/>
      <c r="BD197" s="341"/>
      <c r="BE197" s="341"/>
      <c r="BF197" s="341"/>
      <c r="BG197" s="341"/>
      <c r="BH197" s="341"/>
      <c r="BI197" s="341"/>
      <c r="BJ197" s="341"/>
      <c r="BK197" s="341"/>
      <c r="BL197" s="341"/>
      <c r="BM197" s="341"/>
      <c r="BN197" s="341"/>
      <c r="BO197" s="341"/>
      <c r="BP197" s="341"/>
      <c r="BQ197" s="341"/>
      <c r="BR197" s="340"/>
      <c r="DE197" s="349"/>
      <c r="DF197" s="349"/>
      <c r="DG197" s="349"/>
      <c r="DH197" s="349"/>
      <c r="DI197" s="349"/>
      <c r="DJ197" s="349"/>
      <c r="DK197" s="349"/>
      <c r="DL197" s="349"/>
      <c r="DM197" s="349"/>
      <c r="DN197" s="349"/>
      <c r="DO197" s="349"/>
      <c r="DP197" s="349"/>
      <c r="DQ197" s="349"/>
      <c r="DR197" s="349"/>
      <c r="DS197" s="349"/>
      <c r="DT197" s="349"/>
      <c r="DU197" s="349"/>
      <c r="DV197" s="349"/>
      <c r="DW197" s="349"/>
      <c r="DX197" s="349"/>
      <c r="DY197" s="349"/>
      <c r="DZ197" s="349"/>
      <c r="EA197" s="349"/>
      <c r="EB197" s="349"/>
    </row>
    <row r="198" spans="2:132" ht="6" customHeight="1">
      <c r="B198" s="355">
        <v>8</v>
      </c>
      <c r="S198" s="345"/>
      <c r="BR198" s="345"/>
      <c r="DE198" s="349"/>
      <c r="DF198" s="349"/>
      <c r="DG198" s="349"/>
      <c r="DH198" s="349"/>
      <c r="DI198" s="349"/>
      <c r="DJ198" s="349"/>
      <c r="DK198" s="349"/>
      <c r="DL198" s="349"/>
      <c r="DM198" s="349"/>
      <c r="DN198" s="349"/>
      <c r="DO198" s="349"/>
      <c r="DP198" s="349"/>
      <c r="DQ198" s="349"/>
      <c r="DR198" s="349"/>
      <c r="DS198" s="349"/>
      <c r="DT198" s="349"/>
      <c r="DU198" s="349"/>
      <c r="DV198" s="349"/>
      <c r="DW198" s="349"/>
      <c r="DX198" s="349"/>
      <c r="DY198" s="349"/>
      <c r="DZ198" s="349"/>
      <c r="EA198" s="349"/>
      <c r="EB198" s="349"/>
    </row>
    <row r="199" spans="2:132" ht="6" customHeight="1">
      <c r="B199" s="355"/>
      <c r="I199" s="354">
        <v>-1</v>
      </c>
      <c r="J199" s="354"/>
      <c r="S199" s="345"/>
      <c r="T199" s="701" t="str">
        <f>T77&amp;""</f>
        <v>〇</v>
      </c>
      <c r="U199" s="689"/>
      <c r="V199" s="640" t="s">
        <v>2983</v>
      </c>
      <c r="W199" s="640"/>
      <c r="X199" s="640"/>
      <c r="Y199" s="630" t="s">
        <v>2982</v>
      </c>
      <c r="Z199" s="630"/>
      <c r="AA199" s="630"/>
      <c r="AB199" s="630"/>
      <c r="AC199" s="630"/>
      <c r="AD199" s="630"/>
      <c r="AE199" s="630"/>
      <c r="AF199" s="630"/>
      <c r="AG199" s="630"/>
      <c r="AH199" s="630"/>
      <c r="AI199" s="630"/>
      <c r="AJ199" s="352"/>
      <c r="AK199" s="352"/>
      <c r="AL199" s="630" t="s">
        <v>2981</v>
      </c>
      <c r="AM199" s="630"/>
      <c r="AN199" s="630"/>
      <c r="AO199" s="630"/>
      <c r="AP199" s="687" t="str">
        <f>AP77&amp;""</f>
        <v/>
      </c>
      <c r="AQ199" s="687"/>
      <c r="AR199" s="687"/>
      <c r="AS199" s="687"/>
      <c r="AT199" s="687"/>
      <c r="AU199" s="687"/>
      <c r="AV199" s="687"/>
      <c r="AW199" s="687"/>
      <c r="AX199" s="687"/>
      <c r="AY199" s="687"/>
      <c r="AZ199" s="687"/>
      <c r="BA199" s="687"/>
      <c r="BB199" s="687"/>
      <c r="BC199" s="687"/>
      <c r="BD199" s="687"/>
      <c r="BE199" s="687"/>
      <c r="BF199" s="687"/>
      <c r="BG199" s="687"/>
      <c r="BH199" s="687"/>
      <c r="BI199" s="687"/>
      <c r="BJ199" s="687"/>
      <c r="BK199" s="687"/>
      <c r="BL199" s="687"/>
      <c r="BM199" s="687"/>
      <c r="BN199" s="687"/>
      <c r="BO199" s="687"/>
      <c r="BP199" s="687"/>
      <c r="BQ199" s="352"/>
      <c r="BR199" s="361"/>
      <c r="CB199" s="352"/>
      <c r="CC199" s="352"/>
      <c r="CD199" s="352"/>
      <c r="CE199" s="352"/>
      <c r="CF199" s="352"/>
      <c r="CG199" s="352"/>
      <c r="CH199" s="352"/>
      <c r="CI199" s="352"/>
      <c r="CJ199" s="352"/>
      <c r="CK199" s="352"/>
      <c r="CL199" s="352"/>
      <c r="CM199" s="352"/>
      <c r="CN199" s="352"/>
      <c r="CO199" s="352"/>
      <c r="CP199" s="352"/>
      <c r="CQ199" s="352"/>
      <c r="CR199" s="352"/>
      <c r="CS199" s="352"/>
      <c r="CT199" s="352"/>
      <c r="CU199" s="352"/>
      <c r="CV199" s="352"/>
      <c r="CW199" s="352"/>
      <c r="CX199" s="352"/>
      <c r="CY199" s="352"/>
      <c r="CZ199" s="352"/>
      <c r="DB199" s="352"/>
      <c r="DC199" s="352"/>
      <c r="DD199" s="352"/>
      <c r="DE199" s="349"/>
      <c r="DF199" s="349"/>
      <c r="DG199" s="349"/>
      <c r="DH199" s="349"/>
      <c r="DI199" s="349"/>
      <c r="DJ199" s="349"/>
      <c r="DK199" s="349"/>
      <c r="DL199" s="349"/>
      <c r="DM199" s="349"/>
      <c r="DN199" s="349"/>
      <c r="DO199" s="349"/>
      <c r="DP199" s="349"/>
      <c r="DQ199" s="349"/>
      <c r="DR199" s="349"/>
      <c r="DS199" s="349"/>
      <c r="DT199" s="349"/>
      <c r="DU199" s="349"/>
      <c r="DV199" s="349"/>
      <c r="DW199" s="349"/>
      <c r="DX199" s="349"/>
      <c r="DY199" s="349"/>
      <c r="DZ199" s="349"/>
      <c r="EA199" s="349"/>
      <c r="EB199" s="349"/>
    </row>
    <row r="200" spans="2:132" ht="6" customHeight="1">
      <c r="B200" s="645">
        <v>8</v>
      </c>
      <c r="C200" s="640"/>
      <c r="E200" s="638" t="s">
        <v>2980</v>
      </c>
      <c r="F200" s="638"/>
      <c r="G200" s="638"/>
      <c r="H200" s="638"/>
      <c r="I200" s="638"/>
      <c r="J200" s="638"/>
      <c r="K200" s="638"/>
      <c r="L200" s="638"/>
      <c r="M200" s="638"/>
      <c r="N200" s="638"/>
      <c r="O200" s="638"/>
      <c r="P200" s="638"/>
      <c r="Q200" s="638"/>
      <c r="R200" s="638"/>
      <c r="S200" s="345"/>
      <c r="T200" s="701"/>
      <c r="U200" s="689"/>
      <c r="V200" s="640"/>
      <c r="W200" s="640"/>
      <c r="X200" s="640"/>
      <c r="Y200" s="630"/>
      <c r="Z200" s="630"/>
      <c r="AA200" s="630"/>
      <c r="AB200" s="630"/>
      <c r="AC200" s="630"/>
      <c r="AD200" s="630"/>
      <c r="AE200" s="630"/>
      <c r="AF200" s="630"/>
      <c r="AG200" s="630"/>
      <c r="AH200" s="630"/>
      <c r="AI200" s="630"/>
      <c r="AJ200" s="352"/>
      <c r="AK200" s="352"/>
      <c r="AL200" s="630"/>
      <c r="AM200" s="630"/>
      <c r="AN200" s="630"/>
      <c r="AO200" s="630"/>
      <c r="AP200" s="687"/>
      <c r="AQ200" s="687"/>
      <c r="AR200" s="687"/>
      <c r="AS200" s="687"/>
      <c r="AT200" s="687"/>
      <c r="AU200" s="687"/>
      <c r="AV200" s="687"/>
      <c r="AW200" s="687"/>
      <c r="AX200" s="687"/>
      <c r="AY200" s="687"/>
      <c r="AZ200" s="687"/>
      <c r="BA200" s="687"/>
      <c r="BB200" s="687"/>
      <c r="BC200" s="687"/>
      <c r="BD200" s="687"/>
      <c r="BE200" s="687"/>
      <c r="BF200" s="687"/>
      <c r="BG200" s="687"/>
      <c r="BH200" s="687"/>
      <c r="BI200" s="687"/>
      <c r="BJ200" s="687"/>
      <c r="BK200" s="687"/>
      <c r="BL200" s="687"/>
      <c r="BM200" s="687"/>
      <c r="BN200" s="687"/>
      <c r="BO200" s="687"/>
      <c r="BP200" s="687"/>
      <c r="BQ200" s="352"/>
      <c r="BR200" s="361"/>
      <c r="CB200" s="352"/>
      <c r="CC200" s="352"/>
      <c r="CD200" s="352"/>
      <c r="CE200" s="352"/>
      <c r="CF200" s="352"/>
      <c r="CG200" s="352"/>
      <c r="CH200" s="352"/>
      <c r="CI200" s="352"/>
      <c r="CJ200" s="352"/>
      <c r="CK200" s="352"/>
      <c r="CL200" s="352"/>
      <c r="CM200" s="352"/>
      <c r="CN200" s="352"/>
      <c r="CO200" s="352"/>
      <c r="CP200" s="352"/>
      <c r="CQ200" s="352"/>
      <c r="CR200" s="352"/>
      <c r="CS200" s="352"/>
      <c r="CT200" s="352"/>
      <c r="CU200" s="352"/>
      <c r="CV200" s="352"/>
      <c r="CW200" s="352"/>
      <c r="CX200" s="352"/>
      <c r="CY200" s="352"/>
      <c r="CZ200" s="352"/>
      <c r="DB200" s="352"/>
      <c r="DC200" s="352"/>
      <c r="DD200" s="352"/>
      <c r="DE200" s="349"/>
      <c r="DF200" s="349"/>
      <c r="DG200" s="349"/>
      <c r="DH200" s="349"/>
      <c r="DI200" s="349"/>
      <c r="DJ200" s="349"/>
      <c r="DK200" s="349"/>
      <c r="DL200" s="349"/>
      <c r="DM200" s="349"/>
      <c r="DN200" s="349"/>
      <c r="DO200" s="349"/>
      <c r="DP200" s="349"/>
      <c r="DQ200" s="349"/>
      <c r="DR200" s="349"/>
      <c r="DS200" s="349"/>
      <c r="DT200" s="349"/>
      <c r="DU200" s="349"/>
      <c r="DV200" s="349"/>
      <c r="DW200" s="349"/>
      <c r="DX200" s="349"/>
      <c r="DY200" s="349"/>
      <c r="DZ200" s="349"/>
      <c r="EA200" s="349"/>
      <c r="EB200" s="349"/>
    </row>
    <row r="201" spans="2:132" ht="6" customHeight="1">
      <c r="B201" s="645"/>
      <c r="C201" s="640"/>
      <c r="E201" s="638"/>
      <c r="F201" s="638"/>
      <c r="G201" s="638"/>
      <c r="H201" s="638"/>
      <c r="I201" s="638"/>
      <c r="J201" s="638"/>
      <c r="K201" s="638"/>
      <c r="L201" s="638"/>
      <c r="M201" s="638"/>
      <c r="N201" s="638"/>
      <c r="O201" s="638"/>
      <c r="P201" s="638"/>
      <c r="Q201" s="638"/>
      <c r="R201" s="638"/>
      <c r="S201" s="345"/>
      <c r="AQ201" s="347"/>
      <c r="AR201" s="347"/>
      <c r="AS201" s="347"/>
      <c r="AT201" s="347"/>
      <c r="AU201" s="347"/>
      <c r="AV201" s="347"/>
      <c r="AW201" s="347"/>
      <c r="BE201" s="347"/>
      <c r="BF201" s="347"/>
      <c r="BR201" s="345"/>
      <c r="CT201" s="347"/>
      <c r="CU201" s="347"/>
      <c r="CV201" s="347"/>
      <c r="CW201" s="347"/>
      <c r="CX201" s="347"/>
      <c r="CY201" s="347"/>
      <c r="CZ201" s="347"/>
      <c r="DE201" s="349"/>
      <c r="DF201" s="349"/>
      <c r="DG201" s="349"/>
      <c r="DH201" s="349"/>
      <c r="DI201" s="349"/>
      <c r="DJ201" s="349"/>
      <c r="DK201" s="349"/>
      <c r="DL201" s="349"/>
      <c r="DM201" s="349"/>
      <c r="DN201" s="349"/>
      <c r="DO201" s="349"/>
      <c r="DP201" s="349"/>
      <c r="DQ201" s="349"/>
      <c r="DR201" s="349"/>
      <c r="DS201" s="349"/>
      <c r="DT201" s="349"/>
      <c r="DU201" s="349"/>
      <c r="DV201" s="349"/>
      <c r="DW201" s="349"/>
      <c r="DX201" s="349"/>
      <c r="DY201" s="349"/>
      <c r="DZ201" s="349"/>
      <c r="EA201" s="349"/>
      <c r="EB201" s="349"/>
    </row>
    <row r="202" spans="2:132" ht="6" customHeight="1">
      <c r="B202" s="645"/>
      <c r="C202" s="640"/>
      <c r="E202" s="638"/>
      <c r="F202" s="638"/>
      <c r="G202" s="638"/>
      <c r="H202" s="638"/>
      <c r="I202" s="638"/>
      <c r="J202" s="638"/>
      <c r="K202" s="638"/>
      <c r="L202" s="638"/>
      <c r="M202" s="638"/>
      <c r="N202" s="638"/>
      <c r="O202" s="638"/>
      <c r="P202" s="638"/>
      <c r="Q202" s="638"/>
      <c r="R202" s="638"/>
      <c r="S202" s="345"/>
      <c r="T202" s="701" t="str">
        <f>T80&amp;""</f>
        <v/>
      </c>
      <c r="U202" s="689"/>
      <c r="V202" s="616" t="s">
        <v>55</v>
      </c>
      <c r="W202" s="616"/>
      <c r="X202" s="616"/>
      <c r="Y202" s="643" t="s">
        <v>2</v>
      </c>
      <c r="Z202" s="643"/>
      <c r="AA202" s="643"/>
      <c r="AB202" s="643"/>
      <c r="AC202" s="643"/>
      <c r="AD202" s="643"/>
      <c r="AE202" s="643"/>
      <c r="AF202" s="643"/>
      <c r="AL202" s="630" t="s">
        <v>2979</v>
      </c>
      <c r="AM202" s="630"/>
      <c r="AN202" s="630"/>
      <c r="AO202" s="630"/>
      <c r="AP202" s="630"/>
      <c r="AQ202" s="630"/>
      <c r="AR202" s="630"/>
      <c r="AS202" s="630"/>
      <c r="AT202" s="620" t="s">
        <v>2978</v>
      </c>
      <c r="AU202" s="620"/>
      <c r="AV202" s="687" t="str">
        <f>AV80&amp;""</f>
        <v/>
      </c>
      <c r="AW202" s="687"/>
      <c r="AX202" s="687"/>
      <c r="AY202" s="687"/>
      <c r="AZ202" s="687"/>
      <c r="BA202" s="687"/>
      <c r="BB202" s="687"/>
      <c r="BC202" s="687"/>
      <c r="BD202" s="687"/>
      <c r="BE202" s="687"/>
      <c r="BF202" s="687"/>
      <c r="BG202" s="687"/>
      <c r="BH202" s="687"/>
      <c r="BI202" s="687"/>
      <c r="BJ202" s="687"/>
      <c r="BK202" s="687"/>
      <c r="BL202" s="687"/>
      <c r="BM202" s="687"/>
      <c r="BN202" s="687"/>
      <c r="BO202" s="687"/>
      <c r="BP202" s="687"/>
      <c r="BQ202" s="352"/>
      <c r="BR202" s="345"/>
      <c r="CB202" s="352"/>
      <c r="CC202" s="352"/>
      <c r="CD202" s="352"/>
      <c r="CE202" s="352"/>
      <c r="CF202" s="352"/>
      <c r="CG202" s="352"/>
      <c r="CH202" s="352"/>
      <c r="CI202" s="352"/>
      <c r="DB202" s="352"/>
      <c r="DC202" s="352"/>
      <c r="DD202" s="352"/>
      <c r="DE202" s="349"/>
      <c r="DF202" s="349"/>
      <c r="DG202" s="349"/>
      <c r="DH202" s="349"/>
      <c r="DI202" s="349"/>
      <c r="DJ202" s="349"/>
      <c r="DK202" s="349"/>
      <c r="DL202" s="349"/>
      <c r="DM202" s="349"/>
      <c r="DN202" s="349"/>
      <c r="DO202" s="349"/>
      <c r="DP202" s="349"/>
      <c r="DQ202" s="349"/>
      <c r="DR202" s="349"/>
      <c r="DS202" s="349"/>
      <c r="DT202" s="349"/>
      <c r="DU202" s="349"/>
      <c r="DV202" s="349"/>
      <c r="DW202" s="349"/>
      <c r="DX202" s="349"/>
      <c r="DY202" s="349"/>
      <c r="DZ202" s="349"/>
      <c r="EA202" s="349"/>
      <c r="EB202" s="349"/>
    </row>
    <row r="203" spans="2:132" ht="6" customHeight="1">
      <c r="B203" s="355"/>
      <c r="I203" s="354"/>
      <c r="J203" s="354"/>
      <c r="K203" s="349"/>
      <c r="L203" s="349"/>
      <c r="M203" s="349"/>
      <c r="S203" s="345"/>
      <c r="T203" s="701"/>
      <c r="U203" s="689"/>
      <c r="V203" s="616"/>
      <c r="W203" s="616"/>
      <c r="X203" s="616"/>
      <c r="Y203" s="643"/>
      <c r="Z203" s="643"/>
      <c r="AA203" s="643"/>
      <c r="AB203" s="643"/>
      <c r="AC203" s="643"/>
      <c r="AD203" s="643"/>
      <c r="AE203" s="643"/>
      <c r="AF203" s="643"/>
      <c r="AL203" s="630"/>
      <c r="AM203" s="630"/>
      <c r="AN203" s="630"/>
      <c r="AO203" s="630"/>
      <c r="AP203" s="630"/>
      <c r="AQ203" s="630"/>
      <c r="AR203" s="630"/>
      <c r="AS203" s="630"/>
      <c r="AT203" s="620"/>
      <c r="AU203" s="620"/>
      <c r="AV203" s="687"/>
      <c r="AW203" s="687"/>
      <c r="AX203" s="687"/>
      <c r="AY203" s="687"/>
      <c r="AZ203" s="687"/>
      <c r="BA203" s="687"/>
      <c r="BB203" s="687"/>
      <c r="BC203" s="687"/>
      <c r="BD203" s="687"/>
      <c r="BE203" s="687"/>
      <c r="BF203" s="687"/>
      <c r="BG203" s="687"/>
      <c r="BH203" s="687"/>
      <c r="BI203" s="687"/>
      <c r="BJ203" s="687"/>
      <c r="BK203" s="687"/>
      <c r="BL203" s="687"/>
      <c r="BM203" s="687"/>
      <c r="BN203" s="687"/>
      <c r="BO203" s="687"/>
      <c r="BP203" s="687"/>
      <c r="BQ203" s="352"/>
      <c r="BR203" s="345"/>
      <c r="CB203" s="352"/>
      <c r="CC203" s="352"/>
      <c r="CD203" s="352"/>
      <c r="CE203" s="352"/>
      <c r="CF203" s="352"/>
      <c r="CG203" s="352"/>
      <c r="CH203" s="352"/>
      <c r="CI203" s="352"/>
      <c r="DB203" s="352"/>
      <c r="DC203" s="352"/>
      <c r="DD203" s="352"/>
      <c r="DE203" s="349"/>
      <c r="DF203" s="349"/>
      <c r="DG203" s="349"/>
      <c r="DH203" s="349"/>
      <c r="DI203" s="349"/>
      <c r="DJ203" s="349"/>
      <c r="DK203" s="349"/>
      <c r="DL203" s="349"/>
      <c r="DM203" s="349"/>
      <c r="DN203" s="349"/>
      <c r="DO203" s="349"/>
      <c r="DP203" s="349"/>
      <c r="DQ203" s="349"/>
      <c r="DR203" s="349"/>
      <c r="DS203" s="349"/>
      <c r="DT203" s="349"/>
      <c r="DU203" s="349"/>
      <c r="DV203" s="349"/>
      <c r="DW203" s="349"/>
      <c r="DX203" s="349"/>
      <c r="DY203" s="349"/>
      <c r="DZ203" s="349"/>
      <c r="EA203" s="349"/>
      <c r="EB203" s="349"/>
    </row>
    <row r="204" spans="2:132" ht="6" customHeight="1">
      <c r="B204" s="355"/>
      <c r="I204" s="354"/>
      <c r="J204" s="354"/>
      <c r="K204" s="349"/>
      <c r="L204" s="349"/>
      <c r="M204" s="349"/>
      <c r="S204" s="345"/>
      <c r="V204" s="360"/>
      <c r="W204" s="360"/>
      <c r="X204" s="360"/>
      <c r="Y204" s="352"/>
      <c r="Z204" s="352"/>
      <c r="AA204" s="352"/>
      <c r="AB204" s="352"/>
      <c r="AC204" s="352"/>
      <c r="AD204" s="352"/>
      <c r="AE204" s="352"/>
      <c r="AF204" s="352"/>
      <c r="AL204" s="360"/>
      <c r="AM204" s="360"/>
      <c r="AN204" s="360"/>
      <c r="AO204" s="360"/>
      <c r="AP204" s="360"/>
      <c r="AQ204" s="360"/>
      <c r="AR204" s="360"/>
      <c r="AS204" s="360"/>
      <c r="AT204" s="360"/>
      <c r="AU204" s="360"/>
      <c r="AV204" s="360"/>
      <c r="AW204" s="360"/>
      <c r="AX204" s="360"/>
      <c r="AY204" s="360"/>
      <c r="AZ204" s="360"/>
      <c r="BA204" s="360"/>
      <c r="BB204" s="360"/>
      <c r="BC204" s="360"/>
      <c r="BD204" s="360"/>
      <c r="BE204" s="360"/>
      <c r="BF204" s="352"/>
      <c r="BG204" s="352"/>
      <c r="BH204" s="352"/>
      <c r="BI204" s="352"/>
      <c r="BJ204" s="352"/>
      <c r="BK204" s="352"/>
      <c r="BL204" s="352"/>
      <c r="BM204" s="352"/>
      <c r="BN204" s="352"/>
      <c r="BO204" s="352"/>
      <c r="BP204" s="352"/>
      <c r="BQ204" s="352"/>
      <c r="BR204" s="345"/>
      <c r="CB204" s="352"/>
      <c r="CC204" s="352"/>
      <c r="CD204" s="352"/>
      <c r="CE204" s="352"/>
      <c r="CF204" s="352"/>
      <c r="CG204" s="352"/>
      <c r="CH204" s="352"/>
      <c r="CI204" s="352"/>
      <c r="DB204" s="359"/>
      <c r="DC204" s="359"/>
      <c r="DD204" s="359"/>
      <c r="DE204" s="349"/>
      <c r="DF204" s="349"/>
      <c r="DG204" s="349"/>
      <c r="DH204" s="349"/>
      <c r="DI204" s="349"/>
      <c r="DJ204" s="349"/>
      <c r="DK204" s="349"/>
      <c r="DL204" s="349"/>
      <c r="DM204" s="349"/>
      <c r="DN204" s="349"/>
      <c r="DO204" s="349"/>
      <c r="DP204" s="349"/>
      <c r="DQ204" s="349"/>
      <c r="DR204" s="349"/>
      <c r="DS204" s="349"/>
      <c r="DT204" s="349"/>
      <c r="DU204" s="349"/>
      <c r="DV204" s="349"/>
      <c r="DW204" s="349"/>
      <c r="DX204" s="349"/>
      <c r="DY204" s="349"/>
      <c r="DZ204" s="349"/>
      <c r="EA204" s="349"/>
      <c r="EB204" s="349"/>
    </row>
    <row r="205" spans="2:132" ht="6" customHeight="1">
      <c r="B205" s="355"/>
      <c r="I205" s="354"/>
      <c r="J205" s="354"/>
      <c r="K205" s="349"/>
      <c r="L205" s="349"/>
      <c r="M205" s="349"/>
      <c r="S205" s="345"/>
      <c r="V205" s="360"/>
      <c r="W205" s="360"/>
      <c r="X205" s="360"/>
      <c r="Y205" s="352"/>
      <c r="Z205" s="352"/>
      <c r="AA205" s="352"/>
      <c r="AB205" s="352"/>
      <c r="AC205" s="352"/>
      <c r="AD205" s="352"/>
      <c r="AE205" s="352"/>
      <c r="AF205" s="352"/>
      <c r="AL205" s="630" t="s">
        <v>2977</v>
      </c>
      <c r="AM205" s="630"/>
      <c r="AN205" s="630"/>
      <c r="AO205" s="630"/>
      <c r="AP205" s="630"/>
      <c r="AQ205" s="630"/>
      <c r="AR205" s="630"/>
      <c r="AS205" s="630"/>
      <c r="AT205" s="352"/>
      <c r="AU205" s="352"/>
      <c r="AV205" s="687" t="str">
        <f>AV83&amp;""</f>
        <v/>
      </c>
      <c r="AW205" s="687"/>
      <c r="AX205" s="687"/>
      <c r="AY205" s="687"/>
      <c r="AZ205" s="687"/>
      <c r="BA205" s="687"/>
      <c r="BB205" s="687"/>
      <c r="BC205" s="687"/>
      <c r="BD205" s="687"/>
      <c r="BE205" s="687"/>
      <c r="BF205" s="687"/>
      <c r="BG205" s="687"/>
      <c r="BH205" s="687"/>
      <c r="BI205" s="687"/>
      <c r="BJ205" s="687"/>
      <c r="BK205" s="687"/>
      <c r="BL205" s="687"/>
      <c r="BM205" s="687"/>
      <c r="BN205" s="687"/>
      <c r="BO205" s="687"/>
      <c r="BP205" s="687"/>
      <c r="BQ205" s="352"/>
      <c r="BR205" s="345"/>
      <c r="CB205" s="352"/>
      <c r="CC205" s="352"/>
      <c r="CD205" s="352"/>
      <c r="CE205" s="352"/>
      <c r="CF205" s="352"/>
      <c r="CG205" s="352"/>
      <c r="CH205" s="352"/>
      <c r="CI205" s="352"/>
      <c r="DB205" s="359"/>
      <c r="DC205" s="359"/>
      <c r="DD205" s="359"/>
      <c r="DE205" s="349"/>
      <c r="DF205" s="349"/>
      <c r="DG205" s="349"/>
      <c r="DH205" s="349"/>
      <c r="DI205" s="349"/>
      <c r="DJ205" s="349"/>
      <c r="DK205" s="349"/>
      <c r="DL205" s="349"/>
      <c r="DM205" s="349"/>
      <c r="DN205" s="349"/>
      <c r="DO205" s="349"/>
      <c r="DP205" s="349"/>
      <c r="DQ205" s="349"/>
      <c r="DR205" s="349"/>
      <c r="DS205" s="349"/>
      <c r="DT205" s="349"/>
      <c r="DU205" s="349"/>
      <c r="DV205" s="349"/>
      <c r="DW205" s="349"/>
      <c r="DX205" s="349"/>
      <c r="DY205" s="349"/>
      <c r="DZ205" s="349"/>
      <c r="EA205" s="349"/>
      <c r="EB205" s="349"/>
    </row>
    <row r="206" spans="2:132" ht="6" customHeight="1">
      <c r="B206" s="355"/>
      <c r="I206" s="354"/>
      <c r="J206" s="354"/>
      <c r="K206" s="349"/>
      <c r="L206" s="349"/>
      <c r="M206" s="349"/>
      <c r="S206" s="345"/>
      <c r="V206" s="360"/>
      <c r="W206" s="360"/>
      <c r="X206" s="360"/>
      <c r="Y206" s="352"/>
      <c r="Z206" s="352"/>
      <c r="AA206" s="352"/>
      <c r="AB206" s="352"/>
      <c r="AC206" s="352"/>
      <c r="AD206" s="352"/>
      <c r="AE206" s="352"/>
      <c r="AF206" s="352"/>
      <c r="AL206" s="630"/>
      <c r="AM206" s="630"/>
      <c r="AN206" s="630"/>
      <c r="AO206" s="630"/>
      <c r="AP206" s="630"/>
      <c r="AQ206" s="630"/>
      <c r="AR206" s="630"/>
      <c r="AS206" s="630"/>
      <c r="AT206" s="352"/>
      <c r="AU206" s="352"/>
      <c r="AV206" s="687"/>
      <c r="AW206" s="687"/>
      <c r="AX206" s="687"/>
      <c r="AY206" s="687"/>
      <c r="AZ206" s="687"/>
      <c r="BA206" s="687"/>
      <c r="BB206" s="687"/>
      <c r="BC206" s="687"/>
      <c r="BD206" s="687"/>
      <c r="BE206" s="687"/>
      <c r="BF206" s="687"/>
      <c r="BG206" s="687"/>
      <c r="BH206" s="687"/>
      <c r="BI206" s="687"/>
      <c r="BJ206" s="687"/>
      <c r="BK206" s="687"/>
      <c r="BL206" s="687"/>
      <c r="BM206" s="687"/>
      <c r="BN206" s="687"/>
      <c r="BO206" s="687"/>
      <c r="BP206" s="687"/>
      <c r="BQ206" s="352"/>
      <c r="BR206" s="345"/>
      <c r="CB206" s="352"/>
      <c r="CC206" s="352"/>
      <c r="CD206" s="352"/>
      <c r="CE206" s="352"/>
      <c r="CF206" s="352"/>
      <c r="CG206" s="352"/>
      <c r="CH206" s="352"/>
      <c r="CI206" s="352"/>
      <c r="DB206" s="359"/>
      <c r="DC206" s="359"/>
      <c r="DD206" s="359"/>
      <c r="DE206" s="349"/>
      <c r="DF206" s="349"/>
      <c r="DG206" s="349"/>
      <c r="DH206" s="349"/>
      <c r="DI206" s="349"/>
      <c r="DJ206" s="349"/>
      <c r="DK206" s="349"/>
      <c r="DL206" s="349"/>
      <c r="DM206" s="349"/>
      <c r="DN206" s="349"/>
      <c r="DO206" s="349"/>
      <c r="DP206" s="349"/>
      <c r="DQ206" s="349"/>
      <c r="DR206" s="349"/>
      <c r="DS206" s="349"/>
      <c r="DT206" s="349"/>
      <c r="DU206" s="349"/>
      <c r="DV206" s="349"/>
      <c r="DW206" s="349"/>
      <c r="DX206" s="349"/>
      <c r="DY206" s="349"/>
      <c r="DZ206" s="349"/>
      <c r="EA206" s="349"/>
      <c r="EB206" s="349"/>
    </row>
    <row r="207" spans="2:132" ht="6" customHeight="1">
      <c r="B207" s="358"/>
      <c r="C207" s="341"/>
      <c r="D207" s="341"/>
      <c r="E207" s="341"/>
      <c r="F207" s="341"/>
      <c r="G207" s="341"/>
      <c r="H207" s="341"/>
      <c r="I207" s="357"/>
      <c r="J207" s="357"/>
      <c r="K207" s="356"/>
      <c r="L207" s="356"/>
      <c r="M207" s="356"/>
      <c r="N207" s="341"/>
      <c r="O207" s="341"/>
      <c r="P207" s="341"/>
      <c r="Q207" s="341"/>
      <c r="R207" s="341"/>
      <c r="S207" s="340"/>
      <c r="T207" s="341"/>
      <c r="U207" s="341"/>
      <c r="V207" s="341"/>
      <c r="W207" s="341"/>
      <c r="X207" s="341"/>
      <c r="Y207" s="341"/>
      <c r="Z207" s="341"/>
      <c r="AA207" s="341"/>
      <c r="AB207" s="341"/>
      <c r="AC207" s="341"/>
      <c r="AD207" s="341"/>
      <c r="AE207" s="341"/>
      <c r="AF207" s="341"/>
      <c r="AG207" s="341"/>
      <c r="AH207" s="341"/>
      <c r="AI207" s="341"/>
      <c r="AJ207" s="341"/>
      <c r="AK207" s="341"/>
      <c r="AL207" s="341"/>
      <c r="AM207" s="341"/>
      <c r="AN207" s="341"/>
      <c r="AO207" s="341"/>
      <c r="AP207" s="341"/>
      <c r="AQ207" s="341"/>
      <c r="AR207" s="341"/>
      <c r="AS207" s="341"/>
      <c r="AT207" s="341"/>
      <c r="AU207" s="341"/>
      <c r="AV207" s="341"/>
      <c r="AW207" s="341"/>
      <c r="AX207" s="341"/>
      <c r="AY207" s="341"/>
      <c r="AZ207" s="341"/>
      <c r="BA207" s="341"/>
      <c r="BB207" s="341"/>
      <c r="BC207" s="341"/>
      <c r="BD207" s="341"/>
      <c r="BE207" s="341"/>
      <c r="BF207" s="341"/>
      <c r="BG207" s="341"/>
      <c r="BH207" s="341"/>
      <c r="BI207" s="341"/>
      <c r="BJ207" s="341"/>
      <c r="BK207" s="341"/>
      <c r="BL207" s="341"/>
      <c r="BM207" s="341"/>
      <c r="BN207" s="341"/>
      <c r="BO207" s="341"/>
      <c r="BP207" s="341"/>
      <c r="BQ207" s="341"/>
      <c r="BR207" s="340"/>
      <c r="DE207" s="349"/>
      <c r="DF207" s="349"/>
      <c r="DG207" s="349"/>
      <c r="DH207" s="349"/>
      <c r="DI207" s="349"/>
      <c r="DJ207" s="349"/>
      <c r="DK207" s="349"/>
      <c r="DL207" s="349"/>
      <c r="DM207" s="349"/>
      <c r="DN207" s="349"/>
      <c r="DO207" s="349"/>
      <c r="DP207" s="349"/>
      <c r="DQ207" s="349"/>
      <c r="DR207" s="349"/>
      <c r="DS207" s="349"/>
      <c r="DT207" s="349"/>
      <c r="DU207" s="349"/>
      <c r="DV207" s="349"/>
      <c r="DW207" s="349"/>
      <c r="DX207" s="349"/>
      <c r="DY207" s="349"/>
      <c r="DZ207" s="349"/>
      <c r="EA207" s="349"/>
      <c r="EB207" s="349"/>
    </row>
    <row r="208" spans="2:132" ht="6" customHeight="1">
      <c r="B208" s="645">
        <v>9</v>
      </c>
      <c r="C208" s="640"/>
      <c r="E208" s="638" t="s">
        <v>2976</v>
      </c>
      <c r="F208" s="638"/>
      <c r="G208" s="638"/>
      <c r="H208" s="638"/>
      <c r="I208" s="638"/>
      <c r="J208" s="638"/>
      <c r="K208" s="638"/>
      <c r="L208" s="638"/>
      <c r="M208" s="638"/>
      <c r="N208" s="638"/>
      <c r="O208" s="638"/>
      <c r="P208" s="638"/>
      <c r="Q208" s="638"/>
      <c r="R208" s="638"/>
      <c r="S208" s="345"/>
      <c r="AA208" s="702" t="str">
        <f>AA86&amp;""</f>
        <v/>
      </c>
      <c r="AB208" s="702"/>
      <c r="AC208" s="702"/>
      <c r="AD208" s="702"/>
      <c r="AE208" s="702"/>
      <c r="AF208" s="702"/>
      <c r="AG208" s="702"/>
      <c r="AI208" s="643" t="s">
        <v>2975</v>
      </c>
      <c r="AJ208" s="643"/>
      <c r="AK208" s="643"/>
      <c r="AL208" s="643"/>
      <c r="AM208" s="643"/>
      <c r="AN208" s="643"/>
      <c r="BR208" s="345"/>
      <c r="DE208" s="349"/>
      <c r="DF208" s="349"/>
      <c r="DG208" s="349"/>
      <c r="DH208" s="349"/>
      <c r="DI208" s="349"/>
      <c r="DJ208" s="349"/>
      <c r="DK208" s="349"/>
      <c r="DL208" s="349"/>
      <c r="DM208" s="349"/>
      <c r="DN208" s="349"/>
      <c r="DO208" s="349"/>
      <c r="DP208" s="349"/>
      <c r="DQ208" s="349"/>
      <c r="DR208" s="349"/>
      <c r="DS208" s="349"/>
      <c r="DT208" s="349"/>
      <c r="DU208" s="349"/>
      <c r="DV208" s="349"/>
      <c r="DW208" s="349"/>
      <c r="DX208" s="349"/>
      <c r="DY208" s="349"/>
      <c r="DZ208" s="349"/>
      <c r="EA208" s="349"/>
      <c r="EB208" s="349"/>
    </row>
    <row r="209" spans="2:132" ht="6" customHeight="1">
      <c r="B209" s="645"/>
      <c r="C209" s="640"/>
      <c r="E209" s="638"/>
      <c r="F209" s="638"/>
      <c r="G209" s="638"/>
      <c r="H209" s="638"/>
      <c r="I209" s="638"/>
      <c r="J209" s="638"/>
      <c r="K209" s="638"/>
      <c r="L209" s="638"/>
      <c r="M209" s="638"/>
      <c r="N209" s="638"/>
      <c r="O209" s="638"/>
      <c r="P209" s="638"/>
      <c r="Q209" s="638"/>
      <c r="R209" s="638"/>
      <c r="S209" s="345"/>
      <c r="AA209" s="702"/>
      <c r="AB209" s="702"/>
      <c r="AC209" s="702"/>
      <c r="AD209" s="702"/>
      <c r="AE209" s="702"/>
      <c r="AF209" s="702"/>
      <c r="AG209" s="702"/>
      <c r="AI209" s="643"/>
      <c r="AJ209" s="643"/>
      <c r="AK209" s="643"/>
      <c r="AL209" s="643"/>
      <c r="AM209" s="643"/>
      <c r="AN209" s="643"/>
      <c r="BR209" s="345"/>
      <c r="DE209" s="349"/>
      <c r="DF209" s="349"/>
      <c r="DG209" s="349"/>
      <c r="DH209" s="349"/>
      <c r="DI209" s="349"/>
      <c r="DJ209" s="349"/>
      <c r="DK209" s="349"/>
      <c r="DL209" s="349"/>
      <c r="DM209" s="349"/>
      <c r="DN209" s="349"/>
      <c r="DO209" s="349"/>
      <c r="DP209" s="349"/>
      <c r="DQ209" s="349"/>
      <c r="DR209" s="349"/>
      <c r="DS209" s="349"/>
      <c r="DT209" s="349"/>
      <c r="DU209" s="349"/>
      <c r="DV209" s="349"/>
      <c r="DW209" s="349"/>
      <c r="DX209" s="349"/>
      <c r="DY209" s="349"/>
      <c r="DZ209" s="349"/>
      <c r="EA209" s="349"/>
      <c r="EB209" s="349"/>
    </row>
    <row r="210" spans="2:132" ht="6" customHeight="1">
      <c r="B210" s="645"/>
      <c r="C210" s="640"/>
      <c r="E210" s="638"/>
      <c r="F210" s="638"/>
      <c r="G210" s="638"/>
      <c r="H210" s="638"/>
      <c r="I210" s="638"/>
      <c r="J210" s="638"/>
      <c r="K210" s="638"/>
      <c r="L210" s="638"/>
      <c r="M210" s="638"/>
      <c r="N210" s="638"/>
      <c r="O210" s="638"/>
      <c r="P210" s="638"/>
      <c r="Q210" s="638"/>
      <c r="R210" s="638"/>
      <c r="S210" s="345"/>
      <c r="AA210" s="702"/>
      <c r="AB210" s="702"/>
      <c r="AC210" s="702"/>
      <c r="AD210" s="702"/>
      <c r="AE210" s="702"/>
      <c r="AF210" s="702"/>
      <c r="AG210" s="702"/>
      <c r="AI210" s="643"/>
      <c r="AJ210" s="643"/>
      <c r="AK210" s="643"/>
      <c r="AL210" s="643"/>
      <c r="AM210" s="643"/>
      <c r="AN210" s="643"/>
      <c r="BR210" s="345"/>
      <c r="DE210" s="349"/>
      <c r="DF210" s="349"/>
      <c r="DG210" s="349"/>
      <c r="DH210" s="349"/>
      <c r="DI210" s="349"/>
      <c r="DJ210" s="349"/>
      <c r="DK210" s="349"/>
      <c r="DL210" s="349"/>
      <c r="DM210" s="349"/>
      <c r="DN210" s="349"/>
      <c r="DO210" s="349"/>
      <c r="DP210" s="349"/>
      <c r="DQ210" s="349"/>
      <c r="DR210" s="349"/>
      <c r="DS210" s="349"/>
      <c r="DT210" s="349"/>
      <c r="DU210" s="349"/>
      <c r="DV210" s="349"/>
      <c r="DW210" s="349"/>
      <c r="DX210" s="349"/>
      <c r="DY210" s="349"/>
      <c r="DZ210" s="349"/>
      <c r="EA210" s="349"/>
      <c r="EB210" s="349"/>
    </row>
    <row r="211" spans="2:132" ht="6" customHeight="1">
      <c r="B211" s="645"/>
      <c r="C211" s="640"/>
      <c r="E211" s="638"/>
      <c r="F211" s="638"/>
      <c r="G211" s="638"/>
      <c r="H211" s="638"/>
      <c r="I211" s="638"/>
      <c r="J211" s="638"/>
      <c r="K211" s="638"/>
      <c r="L211" s="638"/>
      <c r="M211" s="638"/>
      <c r="N211" s="638"/>
      <c r="O211" s="638"/>
      <c r="P211" s="638"/>
      <c r="Q211" s="638"/>
      <c r="R211" s="638"/>
      <c r="S211" s="345"/>
      <c r="AA211" s="702"/>
      <c r="AB211" s="702"/>
      <c r="AC211" s="702"/>
      <c r="AD211" s="702"/>
      <c r="AE211" s="702"/>
      <c r="AF211" s="702"/>
      <c r="AG211" s="702"/>
      <c r="AI211" s="643"/>
      <c r="AJ211" s="643"/>
      <c r="AK211" s="643"/>
      <c r="AL211" s="643"/>
      <c r="AM211" s="643"/>
      <c r="AN211" s="643"/>
      <c r="BR211" s="345"/>
      <c r="DE211" s="349"/>
      <c r="DF211" s="349"/>
      <c r="DG211" s="349"/>
      <c r="DH211" s="349"/>
      <c r="DI211" s="349"/>
      <c r="DJ211" s="349"/>
      <c r="DK211" s="349"/>
      <c r="DL211" s="349"/>
      <c r="DM211" s="349"/>
      <c r="DN211" s="349"/>
      <c r="DO211" s="349"/>
      <c r="DP211" s="349"/>
      <c r="DQ211" s="349"/>
      <c r="DR211" s="349"/>
      <c r="DS211" s="349"/>
      <c r="DT211" s="349"/>
      <c r="DU211" s="349"/>
      <c r="DV211" s="349"/>
      <c r="DW211" s="349"/>
      <c r="DX211" s="349"/>
      <c r="DY211" s="349"/>
      <c r="DZ211" s="349"/>
      <c r="EA211" s="349"/>
      <c r="EB211" s="349"/>
    </row>
    <row r="212" spans="2:132" ht="6" customHeight="1">
      <c r="B212" s="665"/>
      <c r="C212" s="641"/>
      <c r="D212" s="341"/>
      <c r="E212" s="639"/>
      <c r="F212" s="639"/>
      <c r="G212" s="639"/>
      <c r="H212" s="639"/>
      <c r="I212" s="639"/>
      <c r="J212" s="639"/>
      <c r="K212" s="639"/>
      <c r="L212" s="639"/>
      <c r="M212" s="639"/>
      <c r="N212" s="639"/>
      <c r="O212" s="639"/>
      <c r="P212" s="639"/>
      <c r="Q212" s="639"/>
      <c r="R212" s="639"/>
      <c r="S212" s="340"/>
      <c r="T212" s="341"/>
      <c r="U212" s="341"/>
      <c r="V212" s="341"/>
      <c r="W212" s="341"/>
      <c r="X212" s="341"/>
      <c r="Y212" s="341"/>
      <c r="Z212" s="341"/>
      <c r="AA212" s="703"/>
      <c r="AB212" s="703"/>
      <c r="AC212" s="703"/>
      <c r="AD212" s="703"/>
      <c r="AE212" s="703"/>
      <c r="AF212" s="703"/>
      <c r="AG212" s="703"/>
      <c r="AH212" s="341"/>
      <c r="AI212" s="668"/>
      <c r="AJ212" s="668"/>
      <c r="AK212" s="668"/>
      <c r="AL212" s="668"/>
      <c r="AM212" s="668"/>
      <c r="AN212" s="668"/>
      <c r="AO212" s="341"/>
      <c r="AP212" s="341"/>
      <c r="AQ212" s="341"/>
      <c r="AR212" s="341"/>
      <c r="AS212" s="341"/>
      <c r="AT212" s="341"/>
      <c r="AU212" s="341"/>
      <c r="AV212" s="341"/>
      <c r="AW212" s="341"/>
      <c r="AX212" s="341"/>
      <c r="AY212" s="341"/>
      <c r="AZ212" s="341"/>
      <c r="BA212" s="341"/>
      <c r="BB212" s="341"/>
      <c r="BC212" s="341"/>
      <c r="BD212" s="341"/>
      <c r="BE212" s="341"/>
      <c r="BF212" s="341"/>
      <c r="BG212" s="341"/>
      <c r="BH212" s="341"/>
      <c r="BI212" s="341"/>
      <c r="BJ212" s="341"/>
      <c r="BK212" s="341"/>
      <c r="BL212" s="341"/>
      <c r="BM212" s="341"/>
      <c r="BN212" s="341"/>
      <c r="BO212" s="341"/>
      <c r="BP212" s="341"/>
      <c r="BQ212" s="341"/>
      <c r="BR212" s="340"/>
      <c r="DE212" s="349"/>
      <c r="DF212" s="349"/>
      <c r="DG212" s="349"/>
      <c r="DH212" s="349"/>
      <c r="DI212" s="349"/>
      <c r="DJ212" s="349"/>
      <c r="DK212" s="349"/>
      <c r="DL212" s="349"/>
      <c r="DM212" s="349"/>
      <c r="DN212" s="349"/>
      <c r="DO212" s="349"/>
      <c r="DP212" s="349"/>
      <c r="DQ212" s="349"/>
      <c r="DR212" s="349"/>
      <c r="DS212" s="349"/>
      <c r="DT212" s="349"/>
      <c r="DU212" s="349"/>
      <c r="DV212" s="349"/>
      <c r="DW212" s="349"/>
      <c r="DX212" s="349"/>
      <c r="DY212" s="349"/>
      <c r="DZ212" s="349"/>
      <c r="EA212" s="349"/>
      <c r="EB212" s="349"/>
    </row>
    <row r="213" spans="2:132" ht="6" customHeight="1">
      <c r="B213" s="355">
        <v>10</v>
      </c>
      <c r="S213" s="345"/>
      <c r="BR213" s="345"/>
      <c r="DE213" s="349"/>
      <c r="DF213" s="349"/>
      <c r="DG213" s="349"/>
      <c r="DH213" s="349"/>
      <c r="DI213" s="349"/>
      <c r="DJ213" s="349"/>
      <c r="DK213" s="349"/>
      <c r="DL213" s="349"/>
      <c r="DM213" s="349"/>
      <c r="DN213" s="349"/>
      <c r="DO213" s="349"/>
      <c r="DP213" s="349"/>
      <c r="DQ213" s="349"/>
      <c r="DR213" s="349"/>
      <c r="DS213" s="349"/>
      <c r="DT213" s="349"/>
      <c r="DU213" s="349"/>
      <c r="DV213" s="349"/>
      <c r="DW213" s="349"/>
      <c r="DX213" s="349"/>
      <c r="DY213" s="349"/>
      <c r="DZ213" s="349"/>
      <c r="EA213" s="349"/>
      <c r="EB213" s="349"/>
    </row>
    <row r="214" spans="2:132" ht="6" customHeight="1">
      <c r="B214" s="355"/>
      <c r="I214" s="354"/>
      <c r="J214" s="354"/>
      <c r="K214" s="354"/>
      <c r="S214" s="345"/>
      <c r="T214" s="353"/>
      <c r="U214" s="352"/>
      <c r="V214" s="616" t="s">
        <v>53</v>
      </c>
      <c r="W214" s="616"/>
      <c r="X214" s="616"/>
      <c r="Y214" s="643" t="s">
        <v>2974</v>
      </c>
      <c r="Z214" s="643"/>
      <c r="AA214" s="643"/>
      <c r="AB214" s="643"/>
      <c r="AC214" s="643"/>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643"/>
      <c r="AY214" s="643"/>
      <c r="AZ214" s="643"/>
      <c r="BA214" s="643"/>
      <c r="BB214" s="643"/>
      <c r="BC214" s="643"/>
      <c r="BR214" s="345"/>
    </row>
    <row r="215" spans="2:132" ht="6" customHeight="1">
      <c r="B215" s="355"/>
      <c r="I215" s="354"/>
      <c r="J215" s="354"/>
      <c r="K215" s="354"/>
      <c r="S215" s="345"/>
      <c r="T215" s="353"/>
      <c r="U215" s="352"/>
      <c r="V215" s="616"/>
      <c r="W215" s="616"/>
      <c r="X215" s="616"/>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3"/>
      <c r="AY215" s="643"/>
      <c r="AZ215" s="643"/>
      <c r="BA215" s="643"/>
      <c r="BB215" s="643"/>
      <c r="BC215" s="643"/>
      <c r="BR215" s="345"/>
    </row>
    <row r="216" spans="2:132" ht="6" customHeight="1">
      <c r="B216" s="355"/>
      <c r="S216" s="345"/>
      <c r="T216" s="352"/>
      <c r="U216" s="352"/>
      <c r="Y216" s="616" t="s">
        <v>2973</v>
      </c>
      <c r="Z216" s="616"/>
      <c r="AA216" s="616"/>
      <c r="AB216" s="702" t="str">
        <f>AB94&amp;""</f>
        <v/>
      </c>
      <c r="AC216" s="702"/>
      <c r="AD216" s="702"/>
      <c r="AE216" s="702"/>
      <c r="AF216" s="702"/>
      <c r="AG216" s="616" t="s">
        <v>2972</v>
      </c>
      <c r="AH216" s="616"/>
      <c r="AI216" s="616"/>
      <c r="AJ216" s="616"/>
      <c r="AK216" s="702" t="str">
        <f>AK94&amp;""</f>
        <v/>
      </c>
      <c r="AL216" s="702"/>
      <c r="AM216" s="702"/>
      <c r="AN216" s="702"/>
      <c r="AO216" s="702"/>
      <c r="AP216" s="616" t="s">
        <v>4</v>
      </c>
      <c r="AQ216" s="616"/>
      <c r="AR216" s="349"/>
      <c r="AS216" s="349"/>
      <c r="AT216" s="349"/>
      <c r="AU216" s="349"/>
      <c r="AV216" s="349"/>
      <c r="AW216" s="349"/>
      <c r="AX216" s="349"/>
      <c r="AY216" s="349"/>
      <c r="AZ216" s="349"/>
      <c r="BR216" s="345"/>
    </row>
    <row r="217" spans="2:132" ht="6" customHeight="1">
      <c r="B217" s="669">
        <v>10</v>
      </c>
      <c r="C217" s="655"/>
      <c r="D217" s="655"/>
      <c r="E217" s="643" t="s">
        <v>2971</v>
      </c>
      <c r="F217" s="643"/>
      <c r="G217" s="643"/>
      <c r="H217" s="643"/>
      <c r="I217" s="643"/>
      <c r="J217" s="643"/>
      <c r="K217" s="643"/>
      <c r="L217" s="643"/>
      <c r="M217" s="643"/>
      <c r="N217" s="643"/>
      <c r="O217" s="643"/>
      <c r="P217" s="643"/>
      <c r="Q217" s="643"/>
      <c r="R217" s="643"/>
      <c r="S217" s="646"/>
      <c r="T217" s="348"/>
      <c r="Y217" s="616"/>
      <c r="Z217" s="616"/>
      <c r="AA217" s="616"/>
      <c r="AB217" s="702"/>
      <c r="AC217" s="702"/>
      <c r="AD217" s="702"/>
      <c r="AE217" s="702"/>
      <c r="AF217" s="702"/>
      <c r="AG217" s="616"/>
      <c r="AH217" s="616"/>
      <c r="AI217" s="616"/>
      <c r="AJ217" s="616"/>
      <c r="AK217" s="702"/>
      <c r="AL217" s="702"/>
      <c r="AM217" s="702"/>
      <c r="AN217" s="702"/>
      <c r="AO217" s="702"/>
      <c r="AP217" s="616"/>
      <c r="AQ217" s="616"/>
      <c r="AR217" s="349"/>
      <c r="AS217" s="349"/>
      <c r="AT217" s="349"/>
      <c r="AU217" s="349"/>
      <c r="AV217" s="349"/>
      <c r="AW217" s="349"/>
      <c r="AX217" s="349"/>
      <c r="AY217" s="349"/>
      <c r="AZ217" s="349"/>
      <c r="BR217" s="345"/>
    </row>
    <row r="218" spans="2:132" ht="6" customHeight="1">
      <c r="B218" s="669"/>
      <c r="C218" s="655"/>
      <c r="D218" s="655"/>
      <c r="E218" s="643"/>
      <c r="F218" s="643"/>
      <c r="G218" s="643"/>
      <c r="H218" s="643"/>
      <c r="I218" s="643"/>
      <c r="J218" s="643"/>
      <c r="K218" s="643"/>
      <c r="L218" s="643"/>
      <c r="M218" s="643"/>
      <c r="N218" s="643"/>
      <c r="O218" s="643"/>
      <c r="P218" s="643"/>
      <c r="Q218" s="643"/>
      <c r="R218" s="643"/>
      <c r="S218" s="646"/>
      <c r="AL218" s="349"/>
      <c r="AM218" s="349"/>
      <c r="AN218" s="349"/>
      <c r="AO218" s="349"/>
      <c r="AP218" s="349"/>
      <c r="AQ218" s="349"/>
      <c r="AR218" s="349"/>
      <c r="AS218" s="349"/>
      <c r="AT218" s="349"/>
      <c r="AU218" s="349"/>
      <c r="AV218" s="349"/>
      <c r="AW218" s="349"/>
      <c r="AX218" s="349"/>
      <c r="AY218" s="349"/>
      <c r="AZ218" s="349"/>
      <c r="BR218" s="345"/>
    </row>
    <row r="219" spans="2:132" ht="6" customHeight="1">
      <c r="B219" s="669"/>
      <c r="C219" s="655"/>
      <c r="D219" s="655"/>
      <c r="E219" s="643"/>
      <c r="F219" s="643"/>
      <c r="G219" s="643"/>
      <c r="H219" s="643"/>
      <c r="I219" s="643"/>
      <c r="J219" s="643"/>
      <c r="K219" s="643"/>
      <c r="L219" s="643"/>
      <c r="M219" s="643"/>
      <c r="N219" s="643"/>
      <c r="O219" s="643"/>
      <c r="P219" s="643"/>
      <c r="Q219" s="643"/>
      <c r="R219" s="643"/>
      <c r="S219" s="646"/>
      <c r="T219" s="353"/>
      <c r="U219" s="352"/>
      <c r="V219" s="616" t="s">
        <v>55</v>
      </c>
      <c r="W219" s="616"/>
      <c r="X219" s="616"/>
      <c r="Y219" s="643" t="s">
        <v>2970</v>
      </c>
      <c r="Z219" s="643"/>
      <c r="AA219" s="643"/>
      <c r="AB219" s="643"/>
      <c r="AC219" s="643"/>
      <c r="AD219" s="643"/>
      <c r="AE219" s="643"/>
      <c r="AF219" s="643"/>
      <c r="AG219" s="643"/>
      <c r="BR219" s="345"/>
    </row>
    <row r="220" spans="2:132" ht="6" customHeight="1">
      <c r="B220" s="355"/>
      <c r="I220" s="354"/>
      <c r="J220" s="354"/>
      <c r="K220" s="354"/>
      <c r="S220" s="345"/>
      <c r="T220" s="353"/>
      <c r="U220" s="352"/>
      <c r="V220" s="616"/>
      <c r="W220" s="616"/>
      <c r="X220" s="616"/>
      <c r="Y220" s="643"/>
      <c r="Z220" s="643"/>
      <c r="AA220" s="643"/>
      <c r="AB220" s="643"/>
      <c r="AC220" s="643"/>
      <c r="AD220" s="643"/>
      <c r="AE220" s="643"/>
      <c r="AF220" s="643"/>
      <c r="AG220" s="643"/>
      <c r="BR220" s="345"/>
    </row>
    <row r="221" spans="2:132" ht="6" customHeight="1">
      <c r="B221" s="348"/>
      <c r="S221" s="345"/>
      <c r="Y221" s="640" t="s">
        <v>3</v>
      </c>
      <c r="Z221" s="640"/>
      <c r="AA221" s="687" t="str">
        <f>AA99&amp;""</f>
        <v/>
      </c>
      <c r="AB221" s="687"/>
      <c r="AC221" s="687"/>
      <c r="AD221" s="687"/>
      <c r="AE221" s="687"/>
      <c r="AF221" s="687"/>
      <c r="AG221" s="687"/>
      <c r="AH221" s="687"/>
      <c r="AI221" s="687"/>
      <c r="AJ221" s="687"/>
      <c r="AK221" s="687"/>
      <c r="AL221" s="687"/>
      <c r="AM221" s="687"/>
      <c r="AN221" s="687"/>
      <c r="AO221" s="687"/>
      <c r="AP221" s="687"/>
      <c r="AQ221" s="687"/>
      <c r="AR221" s="687"/>
      <c r="AS221" s="687"/>
      <c r="AT221" s="687"/>
      <c r="AU221" s="687"/>
      <c r="AV221" s="687"/>
      <c r="AW221" s="687"/>
      <c r="AX221" s="687"/>
      <c r="AY221" s="687"/>
      <c r="AZ221" s="687"/>
      <c r="BA221" s="687"/>
      <c r="BB221" s="687"/>
      <c r="BC221" s="687"/>
      <c r="BD221" s="687"/>
      <c r="BE221" s="687"/>
      <c r="BF221" s="687"/>
      <c r="BG221" s="687"/>
      <c r="BH221" s="687"/>
      <c r="BI221" s="687"/>
      <c r="BJ221" s="687"/>
      <c r="BK221" s="687"/>
      <c r="BL221" s="687"/>
      <c r="BM221" s="687"/>
      <c r="BN221" s="687"/>
      <c r="BO221" s="687"/>
      <c r="BP221" s="640" t="s">
        <v>4</v>
      </c>
      <c r="BQ221" s="640"/>
      <c r="BR221" s="345"/>
    </row>
    <row r="222" spans="2:132" ht="6" customHeight="1">
      <c r="B222" s="348"/>
      <c r="S222" s="345"/>
      <c r="Y222" s="640"/>
      <c r="Z222" s="640"/>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7"/>
      <c r="AY222" s="687"/>
      <c r="AZ222" s="687"/>
      <c r="BA222" s="687"/>
      <c r="BB222" s="687"/>
      <c r="BC222" s="687"/>
      <c r="BD222" s="687"/>
      <c r="BE222" s="687"/>
      <c r="BF222" s="687"/>
      <c r="BG222" s="687"/>
      <c r="BH222" s="687"/>
      <c r="BI222" s="687"/>
      <c r="BJ222" s="687"/>
      <c r="BK222" s="687"/>
      <c r="BL222" s="687"/>
      <c r="BM222" s="687"/>
      <c r="BN222" s="687"/>
      <c r="BO222" s="687"/>
      <c r="BP222" s="640"/>
      <c r="BQ222" s="640"/>
      <c r="BR222" s="345"/>
    </row>
    <row r="223" spans="2:132" ht="6" customHeight="1">
      <c r="B223" s="344"/>
      <c r="C223" s="341"/>
      <c r="D223" s="341"/>
      <c r="E223" s="341"/>
      <c r="F223" s="341"/>
      <c r="G223" s="341"/>
      <c r="H223" s="341"/>
      <c r="I223" s="341"/>
      <c r="J223" s="341"/>
      <c r="K223" s="341"/>
      <c r="L223" s="341"/>
      <c r="M223" s="341"/>
      <c r="N223" s="341"/>
      <c r="O223" s="341"/>
      <c r="P223" s="341"/>
      <c r="Q223" s="341"/>
      <c r="R223" s="341"/>
      <c r="S223" s="340"/>
      <c r="T223" s="341"/>
      <c r="U223" s="341"/>
      <c r="V223" s="341"/>
      <c r="W223" s="341"/>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1"/>
      <c r="BI223" s="341"/>
      <c r="BJ223" s="341"/>
      <c r="BK223" s="341"/>
      <c r="BL223" s="341"/>
      <c r="BM223" s="341"/>
      <c r="BN223" s="341"/>
      <c r="BO223" s="341"/>
      <c r="BP223" s="341"/>
      <c r="BQ223" s="341"/>
      <c r="BR223" s="340"/>
    </row>
    <row r="224" spans="2:132" ht="6" customHeight="1">
      <c r="B224" s="348"/>
      <c r="S224" s="345"/>
      <c r="T224" s="670" t="s">
        <v>2969</v>
      </c>
      <c r="U224" s="638"/>
      <c r="V224" s="638"/>
      <c r="W224" s="638"/>
      <c r="X224" s="638"/>
      <c r="Y224" s="638"/>
      <c r="Z224" s="345"/>
      <c r="AA224" s="347"/>
      <c r="AB224" s="616" t="s">
        <v>2968</v>
      </c>
      <c r="AC224" s="616"/>
      <c r="AD224" s="616"/>
      <c r="AE224" s="616"/>
      <c r="AG224" s="688" t="str">
        <f>AG102&amp;""</f>
        <v/>
      </c>
      <c r="AH224" s="688"/>
      <c r="AI224" s="688"/>
      <c r="AJ224" s="688"/>
      <c r="AK224" s="688"/>
      <c r="AL224" s="688"/>
      <c r="AM224" s="688"/>
      <c r="AN224" s="616" t="s">
        <v>2967</v>
      </c>
      <c r="AO224" s="616"/>
      <c r="AP224" s="616"/>
      <c r="AQ224" s="616"/>
      <c r="AR224" s="346"/>
      <c r="AS224" s="347"/>
      <c r="AT224" s="638" t="s">
        <v>2966</v>
      </c>
      <c r="AU224" s="638"/>
      <c r="AV224" s="638"/>
      <c r="AW224" s="638"/>
      <c r="AX224" s="638"/>
      <c r="AY224" s="638"/>
      <c r="AZ224" s="346"/>
      <c r="BA224" s="347"/>
      <c r="BB224" s="706" t="str">
        <f>BB102&amp;""</f>
        <v/>
      </c>
      <c r="BC224" s="706"/>
      <c r="BD224" s="706"/>
      <c r="BE224" s="706"/>
      <c r="BF224" s="706"/>
      <c r="BG224" s="706"/>
      <c r="BH224" s="706"/>
      <c r="BI224" s="706"/>
      <c r="BM224" s="616" t="s">
        <v>2965</v>
      </c>
      <c r="BN224" s="616"/>
      <c r="BO224" s="616"/>
      <c r="BP224" s="616"/>
      <c r="BQ224" s="616"/>
      <c r="BR224" s="345"/>
    </row>
    <row r="225" spans="2:70" ht="6" customHeight="1">
      <c r="B225" s="348"/>
      <c r="S225" s="345"/>
      <c r="T225" s="670"/>
      <c r="U225" s="638"/>
      <c r="V225" s="638"/>
      <c r="W225" s="638"/>
      <c r="X225" s="638"/>
      <c r="Y225" s="638"/>
      <c r="Z225" s="345"/>
      <c r="AA225" s="347"/>
      <c r="AB225" s="616"/>
      <c r="AC225" s="616"/>
      <c r="AD225" s="616"/>
      <c r="AE225" s="616"/>
      <c r="AG225" s="688"/>
      <c r="AH225" s="688"/>
      <c r="AI225" s="688"/>
      <c r="AJ225" s="688"/>
      <c r="AK225" s="688"/>
      <c r="AL225" s="688"/>
      <c r="AM225" s="688"/>
      <c r="AN225" s="616"/>
      <c r="AO225" s="616"/>
      <c r="AP225" s="616"/>
      <c r="AQ225" s="616"/>
      <c r="AR225" s="346"/>
      <c r="AS225" s="347"/>
      <c r="AT225" s="638"/>
      <c r="AU225" s="638"/>
      <c r="AV225" s="638"/>
      <c r="AW225" s="638"/>
      <c r="AX225" s="638"/>
      <c r="AY225" s="638"/>
      <c r="AZ225" s="346"/>
      <c r="BA225" s="347"/>
      <c r="BB225" s="706"/>
      <c r="BC225" s="706"/>
      <c r="BD225" s="706"/>
      <c r="BE225" s="706"/>
      <c r="BF225" s="706"/>
      <c r="BG225" s="706"/>
      <c r="BH225" s="706"/>
      <c r="BI225" s="706"/>
      <c r="BM225" s="616"/>
      <c r="BN225" s="616"/>
      <c r="BO225" s="616"/>
      <c r="BP225" s="616"/>
      <c r="BQ225" s="616"/>
      <c r="BR225" s="345"/>
    </row>
    <row r="226" spans="2:70" ht="6" customHeight="1">
      <c r="B226" s="348"/>
      <c r="S226" s="345"/>
      <c r="T226" s="670"/>
      <c r="U226" s="638"/>
      <c r="V226" s="638"/>
      <c r="W226" s="638"/>
      <c r="X226" s="638"/>
      <c r="Y226" s="638"/>
      <c r="Z226" s="345"/>
      <c r="AA226" s="347"/>
      <c r="AB226" s="616"/>
      <c r="AC226" s="616"/>
      <c r="AD226" s="616"/>
      <c r="AE226" s="616"/>
      <c r="AG226" s="688"/>
      <c r="AH226" s="688"/>
      <c r="AI226" s="688"/>
      <c r="AJ226" s="688"/>
      <c r="AK226" s="688"/>
      <c r="AL226" s="688"/>
      <c r="AM226" s="688"/>
      <c r="AN226" s="616"/>
      <c r="AO226" s="616"/>
      <c r="AP226" s="616"/>
      <c r="AQ226" s="616"/>
      <c r="AR226" s="346"/>
      <c r="AS226" s="347"/>
      <c r="AT226" s="638"/>
      <c r="AU226" s="638"/>
      <c r="AV226" s="638"/>
      <c r="AW226" s="638"/>
      <c r="AX226" s="638"/>
      <c r="AY226" s="638"/>
      <c r="AZ226" s="346"/>
      <c r="BA226" s="347"/>
      <c r="BB226" s="706"/>
      <c r="BC226" s="706"/>
      <c r="BD226" s="706"/>
      <c r="BE226" s="706"/>
      <c r="BF226" s="706"/>
      <c r="BG226" s="706"/>
      <c r="BH226" s="706"/>
      <c r="BI226" s="706"/>
      <c r="BM226" s="616"/>
      <c r="BN226" s="616"/>
      <c r="BO226" s="616"/>
      <c r="BP226" s="616"/>
      <c r="BQ226" s="616"/>
      <c r="BR226" s="345"/>
    </row>
    <row r="227" spans="2:70" ht="6" customHeight="1">
      <c r="B227" s="348"/>
      <c r="S227" s="345"/>
      <c r="T227" s="670"/>
      <c r="U227" s="638"/>
      <c r="V227" s="638"/>
      <c r="W227" s="638"/>
      <c r="X227" s="638"/>
      <c r="Y227" s="638"/>
      <c r="Z227" s="345"/>
      <c r="AA227" s="347"/>
      <c r="AB227" s="616"/>
      <c r="AC227" s="616"/>
      <c r="AD227" s="616"/>
      <c r="AE227" s="616"/>
      <c r="AG227" s="688"/>
      <c r="AH227" s="688"/>
      <c r="AI227" s="688"/>
      <c r="AJ227" s="688"/>
      <c r="AK227" s="688"/>
      <c r="AL227" s="688"/>
      <c r="AM227" s="688"/>
      <c r="AN227" s="616"/>
      <c r="AO227" s="616"/>
      <c r="AP227" s="616"/>
      <c r="AQ227" s="616"/>
      <c r="AR227" s="346"/>
      <c r="AS227" s="347"/>
      <c r="AT227" s="638"/>
      <c r="AU227" s="638"/>
      <c r="AV227" s="638"/>
      <c r="AW227" s="638"/>
      <c r="AX227" s="638"/>
      <c r="AY227" s="638"/>
      <c r="AZ227" s="346"/>
      <c r="BA227" s="347"/>
      <c r="BB227" s="706"/>
      <c r="BC227" s="706"/>
      <c r="BD227" s="706"/>
      <c r="BE227" s="706"/>
      <c r="BF227" s="706"/>
      <c r="BG227" s="706"/>
      <c r="BH227" s="706"/>
      <c r="BI227" s="706"/>
      <c r="BM227" s="616"/>
      <c r="BN227" s="616"/>
      <c r="BO227" s="616"/>
      <c r="BP227" s="616"/>
      <c r="BQ227" s="616"/>
      <c r="BR227" s="345"/>
    </row>
    <row r="228" spans="2:70" ht="6" customHeight="1">
      <c r="B228" s="669">
        <v>11</v>
      </c>
      <c r="C228" s="655"/>
      <c r="D228" s="655"/>
      <c r="E228" s="638" t="s">
        <v>2964</v>
      </c>
      <c r="F228" s="638"/>
      <c r="G228" s="638"/>
      <c r="H228" s="638"/>
      <c r="I228" s="638"/>
      <c r="J228" s="638"/>
      <c r="K228" s="638"/>
      <c r="L228" s="638"/>
      <c r="M228" s="638"/>
      <c r="N228" s="638"/>
      <c r="O228" s="638"/>
      <c r="P228" s="638"/>
      <c r="Q228" s="638"/>
      <c r="R228" s="638"/>
      <c r="S228" s="345"/>
      <c r="T228" s="671"/>
      <c r="U228" s="639"/>
      <c r="V228" s="639"/>
      <c r="W228" s="639"/>
      <c r="X228" s="639"/>
      <c r="Y228" s="639"/>
      <c r="Z228" s="340"/>
      <c r="AA228" s="343"/>
      <c r="AB228" s="618"/>
      <c r="AC228" s="618"/>
      <c r="AD228" s="618"/>
      <c r="AE228" s="618"/>
      <c r="AF228" s="341"/>
      <c r="AG228" s="705"/>
      <c r="AH228" s="705"/>
      <c r="AI228" s="705"/>
      <c r="AJ228" s="705"/>
      <c r="AK228" s="705"/>
      <c r="AL228" s="705"/>
      <c r="AM228" s="705"/>
      <c r="AN228" s="618"/>
      <c r="AO228" s="618"/>
      <c r="AP228" s="618"/>
      <c r="AQ228" s="618"/>
      <c r="AR228" s="342"/>
      <c r="AS228" s="343"/>
      <c r="AT228" s="639"/>
      <c r="AU228" s="639"/>
      <c r="AV228" s="639"/>
      <c r="AW228" s="639"/>
      <c r="AX228" s="639"/>
      <c r="AY228" s="639"/>
      <c r="AZ228" s="342"/>
      <c r="BA228" s="343"/>
      <c r="BB228" s="707"/>
      <c r="BC228" s="707"/>
      <c r="BD228" s="707"/>
      <c r="BE228" s="707"/>
      <c r="BF228" s="707"/>
      <c r="BG228" s="707"/>
      <c r="BH228" s="707"/>
      <c r="BI228" s="707"/>
      <c r="BJ228" s="341"/>
      <c r="BK228" s="341"/>
      <c r="BL228" s="341"/>
      <c r="BM228" s="618"/>
      <c r="BN228" s="618"/>
      <c r="BO228" s="618"/>
      <c r="BP228" s="618"/>
      <c r="BQ228" s="618"/>
      <c r="BR228" s="340"/>
    </row>
    <row r="229" spans="2:70" ht="6" customHeight="1">
      <c r="B229" s="669"/>
      <c r="C229" s="655"/>
      <c r="D229" s="655"/>
      <c r="E229" s="638"/>
      <c r="F229" s="638"/>
      <c r="G229" s="638"/>
      <c r="H229" s="638"/>
      <c r="I229" s="638"/>
      <c r="J229" s="638"/>
      <c r="K229" s="638"/>
      <c r="L229" s="638"/>
      <c r="M229" s="638"/>
      <c r="N229" s="638"/>
      <c r="O229" s="638"/>
      <c r="P229" s="638"/>
      <c r="Q229" s="638"/>
      <c r="R229" s="638"/>
      <c r="S229" s="346"/>
      <c r="T229" s="670" t="s">
        <v>2963</v>
      </c>
      <c r="U229" s="638"/>
      <c r="V229" s="638"/>
      <c r="W229" s="638"/>
      <c r="X229" s="638"/>
      <c r="Y229" s="638"/>
      <c r="Z229" s="345"/>
      <c r="AB229" s="687" t="str">
        <f>AB107&amp;""</f>
        <v/>
      </c>
      <c r="AC229" s="687"/>
      <c r="AD229" s="687"/>
      <c r="AE229" s="687"/>
      <c r="AF229" s="687"/>
      <c r="AG229" s="687"/>
      <c r="AH229" s="687"/>
      <c r="AI229" s="687"/>
      <c r="AJ229" s="687"/>
      <c r="AK229" s="687"/>
      <c r="AL229" s="687"/>
      <c r="AM229" s="687"/>
      <c r="AN229" s="687"/>
      <c r="AO229" s="687"/>
      <c r="AP229" s="687"/>
      <c r="AQ229" s="687"/>
      <c r="AR229" s="346"/>
      <c r="AS229" s="349"/>
      <c r="AT229" s="616" t="s">
        <v>2962</v>
      </c>
      <c r="AU229" s="616"/>
      <c r="AV229" s="616"/>
      <c r="AW229" s="616"/>
      <c r="AX229" s="616"/>
      <c r="AY229" s="616"/>
      <c r="AZ229" s="346"/>
      <c r="BA229" s="347"/>
      <c r="BB229" s="688" t="str">
        <f>BB107&amp;""</f>
        <v>〇</v>
      </c>
      <c r="BC229" s="688"/>
      <c r="BD229" s="616" t="s">
        <v>2961</v>
      </c>
      <c r="BE229" s="616"/>
      <c r="BF229" s="616"/>
      <c r="BG229" s="616"/>
      <c r="BH229" s="640" t="s">
        <v>2960</v>
      </c>
      <c r="BI229" s="640"/>
      <c r="BJ229" s="688" t="str">
        <f>BJ107&amp;""</f>
        <v/>
      </c>
      <c r="BK229" s="688"/>
      <c r="BL229" s="616" t="s">
        <v>2959</v>
      </c>
      <c r="BM229" s="616"/>
      <c r="BN229" s="616"/>
      <c r="BO229" s="616"/>
      <c r="BR229" s="345"/>
    </row>
    <row r="230" spans="2:70" ht="6" customHeight="1">
      <c r="B230" s="351"/>
      <c r="C230" s="350"/>
      <c r="D230" s="350"/>
      <c r="E230" s="339"/>
      <c r="F230" s="339"/>
      <c r="G230" s="339"/>
      <c r="H230" s="339"/>
      <c r="I230" s="339"/>
      <c r="J230" s="339"/>
      <c r="K230" s="339"/>
      <c r="L230" s="339"/>
      <c r="M230" s="339"/>
      <c r="N230" s="339"/>
      <c r="O230" s="339"/>
      <c r="P230" s="339"/>
      <c r="Q230" s="339"/>
      <c r="R230" s="339"/>
      <c r="S230" s="346"/>
      <c r="T230" s="670"/>
      <c r="U230" s="638"/>
      <c r="V230" s="638"/>
      <c r="W230" s="638"/>
      <c r="X230" s="638"/>
      <c r="Y230" s="638"/>
      <c r="Z230" s="345"/>
      <c r="AB230" s="687"/>
      <c r="AC230" s="687"/>
      <c r="AD230" s="687"/>
      <c r="AE230" s="687"/>
      <c r="AF230" s="687"/>
      <c r="AG230" s="687"/>
      <c r="AH230" s="687"/>
      <c r="AI230" s="687"/>
      <c r="AJ230" s="687"/>
      <c r="AK230" s="687"/>
      <c r="AL230" s="687"/>
      <c r="AM230" s="687"/>
      <c r="AN230" s="687"/>
      <c r="AO230" s="687"/>
      <c r="AP230" s="687"/>
      <c r="AQ230" s="687"/>
      <c r="AR230" s="346"/>
      <c r="AS230" s="349"/>
      <c r="AT230" s="616"/>
      <c r="AU230" s="616"/>
      <c r="AV230" s="616"/>
      <c r="AW230" s="616"/>
      <c r="AX230" s="616"/>
      <c r="AY230" s="616"/>
      <c r="AZ230" s="346"/>
      <c r="BA230" s="347"/>
      <c r="BB230" s="688"/>
      <c r="BC230" s="688"/>
      <c r="BD230" s="616"/>
      <c r="BE230" s="616"/>
      <c r="BF230" s="616"/>
      <c r="BG230" s="616"/>
      <c r="BH230" s="640"/>
      <c r="BI230" s="640"/>
      <c r="BJ230" s="688"/>
      <c r="BK230" s="688"/>
      <c r="BL230" s="616"/>
      <c r="BM230" s="616"/>
      <c r="BN230" s="616"/>
      <c r="BO230" s="616"/>
      <c r="BR230" s="345"/>
    </row>
    <row r="231" spans="2:70" ht="6" customHeight="1">
      <c r="B231" s="351"/>
      <c r="C231" s="350"/>
      <c r="D231" s="350"/>
      <c r="E231" s="339"/>
      <c r="F231" s="339"/>
      <c r="G231" s="339"/>
      <c r="H231" s="339"/>
      <c r="I231" s="339"/>
      <c r="J231" s="339"/>
      <c r="K231" s="339"/>
      <c r="L231" s="339"/>
      <c r="M231" s="339"/>
      <c r="N231" s="339"/>
      <c r="O231" s="339"/>
      <c r="P231" s="339"/>
      <c r="Q231" s="339"/>
      <c r="R231" s="339"/>
      <c r="S231" s="346"/>
      <c r="T231" s="670"/>
      <c r="U231" s="638"/>
      <c r="V231" s="638"/>
      <c r="W231" s="638"/>
      <c r="X231" s="638"/>
      <c r="Y231" s="638"/>
      <c r="Z231" s="345"/>
      <c r="AB231" s="687"/>
      <c r="AC231" s="687"/>
      <c r="AD231" s="687"/>
      <c r="AE231" s="687"/>
      <c r="AF231" s="687"/>
      <c r="AG231" s="687"/>
      <c r="AH231" s="687"/>
      <c r="AI231" s="687"/>
      <c r="AJ231" s="687"/>
      <c r="AK231" s="687"/>
      <c r="AL231" s="687"/>
      <c r="AM231" s="687"/>
      <c r="AN231" s="687"/>
      <c r="AO231" s="687"/>
      <c r="AP231" s="687"/>
      <c r="AQ231" s="687"/>
      <c r="AR231" s="346"/>
      <c r="AS231" s="349"/>
      <c r="AT231" s="616"/>
      <c r="AU231" s="616"/>
      <c r="AV231" s="616"/>
      <c r="AW231" s="616"/>
      <c r="AX231" s="616"/>
      <c r="AY231" s="616"/>
      <c r="AZ231" s="346"/>
      <c r="BA231" s="347"/>
      <c r="BB231" s="688"/>
      <c r="BC231" s="688"/>
      <c r="BD231" s="616"/>
      <c r="BE231" s="616"/>
      <c r="BF231" s="616"/>
      <c r="BG231" s="616"/>
      <c r="BH231" s="640"/>
      <c r="BI231" s="640"/>
      <c r="BJ231" s="688"/>
      <c r="BK231" s="688"/>
      <c r="BL231" s="616"/>
      <c r="BM231" s="616"/>
      <c r="BN231" s="616"/>
      <c r="BO231" s="616"/>
      <c r="BR231" s="345"/>
    </row>
    <row r="232" spans="2:70" ht="6" customHeight="1">
      <c r="B232" s="348"/>
      <c r="I232" s="347"/>
      <c r="J232" s="347"/>
      <c r="K232" s="347"/>
      <c r="L232" s="347"/>
      <c r="M232" s="347"/>
      <c r="N232" s="347"/>
      <c r="O232" s="347"/>
      <c r="P232" s="347"/>
      <c r="Q232" s="347"/>
      <c r="R232" s="347"/>
      <c r="S232" s="346"/>
      <c r="T232" s="670"/>
      <c r="U232" s="638"/>
      <c r="V232" s="638"/>
      <c r="W232" s="638"/>
      <c r="X232" s="638"/>
      <c r="Y232" s="638"/>
      <c r="Z232" s="345"/>
      <c r="AB232" s="687"/>
      <c r="AC232" s="687"/>
      <c r="AD232" s="687"/>
      <c r="AE232" s="687"/>
      <c r="AF232" s="687"/>
      <c r="AG232" s="687"/>
      <c r="AH232" s="687"/>
      <c r="AI232" s="687"/>
      <c r="AJ232" s="687"/>
      <c r="AK232" s="687"/>
      <c r="AL232" s="687"/>
      <c r="AM232" s="687"/>
      <c r="AN232" s="687"/>
      <c r="AO232" s="687"/>
      <c r="AP232" s="687"/>
      <c r="AQ232" s="687"/>
      <c r="AR232" s="345"/>
      <c r="AT232" s="616"/>
      <c r="AU232" s="616"/>
      <c r="AV232" s="616"/>
      <c r="AW232" s="616"/>
      <c r="AX232" s="616"/>
      <c r="AY232" s="616"/>
      <c r="AZ232" s="345"/>
      <c r="BB232" s="688"/>
      <c r="BC232" s="688"/>
      <c r="BD232" s="616"/>
      <c r="BE232" s="616"/>
      <c r="BF232" s="616"/>
      <c r="BG232" s="616"/>
      <c r="BH232" s="640"/>
      <c r="BI232" s="640"/>
      <c r="BJ232" s="688"/>
      <c r="BK232" s="688"/>
      <c r="BL232" s="616"/>
      <c r="BM232" s="616"/>
      <c r="BN232" s="616"/>
      <c r="BO232" s="616"/>
      <c r="BR232" s="345"/>
    </row>
    <row r="233" spans="2:70" ht="6" customHeight="1">
      <c r="B233" s="344"/>
      <c r="C233" s="341"/>
      <c r="D233" s="341"/>
      <c r="E233" s="341"/>
      <c r="F233" s="341"/>
      <c r="G233" s="341"/>
      <c r="H233" s="341"/>
      <c r="I233" s="343"/>
      <c r="J233" s="343"/>
      <c r="K233" s="343"/>
      <c r="L233" s="343"/>
      <c r="M233" s="343"/>
      <c r="N233" s="343"/>
      <c r="O233" s="343"/>
      <c r="P233" s="343"/>
      <c r="Q233" s="343"/>
      <c r="R233" s="343"/>
      <c r="S233" s="342"/>
      <c r="T233" s="671"/>
      <c r="U233" s="639"/>
      <c r="V233" s="639"/>
      <c r="W233" s="639"/>
      <c r="X233" s="639"/>
      <c r="Y233" s="639"/>
      <c r="Z233" s="340"/>
      <c r="AA233" s="341"/>
      <c r="AB233" s="704"/>
      <c r="AC233" s="704"/>
      <c r="AD233" s="704"/>
      <c r="AE233" s="704"/>
      <c r="AF233" s="704"/>
      <c r="AG233" s="704"/>
      <c r="AH233" s="704"/>
      <c r="AI233" s="704"/>
      <c r="AJ233" s="704"/>
      <c r="AK233" s="704"/>
      <c r="AL233" s="704"/>
      <c r="AM233" s="704"/>
      <c r="AN233" s="704"/>
      <c r="AO233" s="704"/>
      <c r="AP233" s="704"/>
      <c r="AQ233" s="704"/>
      <c r="AR233" s="340"/>
      <c r="AS233" s="341"/>
      <c r="AT233" s="618"/>
      <c r="AU233" s="618"/>
      <c r="AV233" s="618"/>
      <c r="AW233" s="618"/>
      <c r="AX233" s="618"/>
      <c r="AY233" s="618"/>
      <c r="AZ233" s="340"/>
      <c r="BA233" s="341"/>
      <c r="BB233" s="705"/>
      <c r="BC233" s="705"/>
      <c r="BD233" s="618"/>
      <c r="BE233" s="618"/>
      <c r="BF233" s="618"/>
      <c r="BG233" s="618"/>
      <c r="BH233" s="641"/>
      <c r="BI233" s="641"/>
      <c r="BJ233" s="705"/>
      <c r="BK233" s="705"/>
      <c r="BL233" s="618"/>
      <c r="BM233" s="618"/>
      <c r="BN233" s="618"/>
      <c r="BO233" s="618"/>
      <c r="BP233" s="341"/>
      <c r="BQ233" s="341"/>
      <c r="BR233" s="340"/>
    </row>
    <row r="234" spans="2:70" ht="15" customHeight="1">
      <c r="B234" s="677" t="s">
        <v>2958</v>
      </c>
      <c r="C234" s="677"/>
      <c r="D234" s="677"/>
      <c r="F234" s="678">
        <v>1</v>
      </c>
      <c r="G234" s="678"/>
      <c r="H234" s="679" t="s">
        <v>2957</v>
      </c>
      <c r="I234" s="679"/>
      <c r="J234" s="679"/>
      <c r="K234" s="679"/>
      <c r="L234" s="679"/>
      <c r="M234" s="679"/>
      <c r="N234" s="679"/>
      <c r="O234" s="679"/>
      <c r="P234" s="679"/>
      <c r="Q234" s="679"/>
      <c r="R234" s="679"/>
      <c r="S234" s="679"/>
      <c r="T234" s="679"/>
      <c r="U234" s="679"/>
      <c r="V234" s="679"/>
      <c r="W234" s="679"/>
      <c r="X234" s="679"/>
      <c r="Y234" s="679"/>
      <c r="Z234" s="679"/>
      <c r="AA234" s="679"/>
      <c r="AB234" s="679"/>
      <c r="AC234" s="679"/>
      <c r="AD234" s="679"/>
      <c r="AE234" s="679"/>
      <c r="AF234" s="679"/>
      <c r="AG234" s="679"/>
      <c r="AH234" s="679"/>
      <c r="AI234" s="679"/>
      <c r="AJ234" s="679"/>
      <c r="AK234" s="679"/>
      <c r="AL234" s="679"/>
      <c r="AM234" s="679"/>
      <c r="AN234" s="679"/>
      <c r="AO234" s="679"/>
      <c r="AP234" s="679"/>
      <c r="AQ234" s="679"/>
      <c r="AR234" s="679"/>
      <c r="AS234" s="679"/>
      <c r="AT234" s="679"/>
      <c r="AU234" s="679"/>
      <c r="AV234" s="679"/>
      <c r="AW234" s="679"/>
      <c r="AX234" s="679"/>
      <c r="AY234" s="679"/>
      <c r="AZ234" s="679"/>
      <c r="BA234" s="679"/>
      <c r="BB234" s="679"/>
      <c r="BC234" s="679"/>
      <c r="BD234" s="679"/>
      <c r="BE234" s="679"/>
      <c r="BF234" s="679"/>
      <c r="BG234" s="679"/>
      <c r="BH234" s="679"/>
      <c r="BI234" s="679"/>
      <c r="BJ234" s="679"/>
      <c r="BK234" s="679"/>
      <c r="BL234" s="679"/>
      <c r="BM234" s="679"/>
      <c r="BN234" s="679"/>
      <c r="BO234" s="679"/>
      <c r="BP234" s="679"/>
      <c r="BQ234" s="679"/>
      <c r="BR234" s="679"/>
    </row>
    <row r="235" spans="2:70" ht="15" customHeight="1">
      <c r="C235" s="339">
        <v>2</v>
      </c>
      <c r="F235" s="678">
        <v>2</v>
      </c>
      <c r="G235" s="678"/>
      <c r="H235" s="680" t="s">
        <v>2956</v>
      </c>
      <c r="I235" s="680"/>
      <c r="J235" s="680"/>
      <c r="K235" s="680"/>
      <c r="L235" s="680"/>
      <c r="M235" s="680"/>
      <c r="N235" s="680"/>
      <c r="O235" s="680"/>
      <c r="P235" s="680"/>
      <c r="Q235" s="680"/>
      <c r="R235" s="680"/>
      <c r="S235" s="680"/>
      <c r="T235" s="680"/>
      <c r="U235" s="680"/>
      <c r="V235" s="680"/>
      <c r="W235" s="680"/>
      <c r="X235" s="680"/>
      <c r="Y235" s="680"/>
      <c r="Z235" s="680"/>
      <c r="AA235" s="680"/>
      <c r="AB235" s="680"/>
      <c r="AC235" s="680"/>
      <c r="AD235" s="680"/>
      <c r="AE235" s="680"/>
      <c r="AF235" s="680"/>
      <c r="AG235" s="680"/>
      <c r="AH235" s="680"/>
      <c r="AI235" s="680"/>
      <c r="AJ235" s="680"/>
      <c r="AK235" s="680"/>
      <c r="AL235" s="680"/>
      <c r="AM235" s="680"/>
      <c r="AN235" s="680"/>
      <c r="AO235" s="680"/>
      <c r="AP235" s="680"/>
      <c r="AQ235" s="680"/>
      <c r="AR235" s="680"/>
      <c r="AS235" s="680"/>
      <c r="AT235" s="680"/>
      <c r="AU235" s="680"/>
      <c r="AV235" s="680"/>
      <c r="AW235" s="680"/>
      <c r="AX235" s="680"/>
      <c r="AY235" s="680"/>
      <c r="AZ235" s="680"/>
      <c r="BA235" s="680"/>
      <c r="BB235" s="680"/>
      <c r="BC235" s="680"/>
      <c r="BD235" s="680"/>
      <c r="BE235" s="680"/>
      <c r="BF235" s="680"/>
      <c r="BG235" s="680"/>
      <c r="BH235" s="680"/>
      <c r="BI235" s="680"/>
      <c r="BJ235" s="680"/>
      <c r="BK235" s="680"/>
      <c r="BL235" s="680"/>
      <c r="BM235" s="680"/>
      <c r="BN235" s="680"/>
      <c r="BO235" s="680"/>
      <c r="BP235" s="680"/>
      <c r="BQ235" s="680"/>
      <c r="BR235" s="680"/>
    </row>
    <row r="236" spans="2:70" ht="15" customHeight="1">
      <c r="C236" s="339">
        <v>3</v>
      </c>
      <c r="F236" s="678">
        <v>3</v>
      </c>
      <c r="G236" s="678"/>
      <c r="H236" s="680" t="s">
        <v>2955</v>
      </c>
      <c r="I236" s="680"/>
      <c r="J236" s="680"/>
      <c r="K236" s="680"/>
      <c r="L236" s="680"/>
      <c r="M236" s="680"/>
      <c r="N236" s="680"/>
      <c r="O236" s="680"/>
      <c r="P236" s="680"/>
      <c r="Q236" s="680"/>
      <c r="R236" s="680"/>
      <c r="S236" s="680"/>
      <c r="T236" s="680"/>
      <c r="U236" s="680"/>
      <c r="V236" s="680"/>
      <c r="W236" s="680"/>
      <c r="X236" s="680"/>
      <c r="Y236" s="680"/>
      <c r="Z236" s="680"/>
      <c r="AA236" s="680"/>
      <c r="AB236" s="680"/>
      <c r="AC236" s="680"/>
      <c r="AD236" s="680"/>
      <c r="AE236" s="680"/>
      <c r="AF236" s="680"/>
      <c r="AG236" s="680"/>
      <c r="AH236" s="680"/>
      <c r="AI236" s="680"/>
      <c r="AJ236" s="680"/>
      <c r="AK236" s="680"/>
      <c r="AL236" s="680"/>
      <c r="AM236" s="680"/>
      <c r="AN236" s="680"/>
      <c r="AO236" s="680"/>
      <c r="AP236" s="680"/>
      <c r="AQ236" s="680"/>
      <c r="AR236" s="680"/>
      <c r="AS236" s="680"/>
      <c r="AT236" s="680"/>
      <c r="AU236" s="680"/>
      <c r="AV236" s="680"/>
      <c r="AW236" s="680"/>
      <c r="AX236" s="680"/>
      <c r="AY236" s="680"/>
      <c r="AZ236" s="680"/>
      <c r="BA236" s="680"/>
      <c r="BB236" s="680"/>
      <c r="BC236" s="680"/>
      <c r="BD236" s="680"/>
      <c r="BE236" s="680"/>
      <c r="BF236" s="680"/>
      <c r="BG236" s="680"/>
      <c r="BH236" s="680"/>
      <c r="BI236" s="680"/>
      <c r="BJ236" s="680"/>
      <c r="BK236" s="680"/>
      <c r="BL236" s="680"/>
      <c r="BM236" s="680"/>
      <c r="BN236" s="680"/>
      <c r="BO236" s="680"/>
      <c r="BP236" s="680"/>
      <c r="BQ236" s="680"/>
      <c r="BR236" s="680"/>
    </row>
    <row r="237" spans="2:70" ht="15" customHeight="1">
      <c r="C237" s="339">
        <v>4</v>
      </c>
      <c r="F237" s="678">
        <v>4</v>
      </c>
      <c r="G237" s="678"/>
      <c r="H237" s="684" t="s">
        <v>3258</v>
      </c>
      <c r="I237" s="684"/>
      <c r="J237" s="684"/>
      <c r="K237" s="684"/>
      <c r="L237" s="684"/>
      <c r="M237" s="684"/>
      <c r="N237" s="684"/>
      <c r="O237" s="684"/>
      <c r="P237" s="684"/>
      <c r="Q237" s="684"/>
      <c r="R237" s="684"/>
      <c r="S237" s="684"/>
      <c r="T237" s="684"/>
      <c r="U237" s="684"/>
      <c r="V237" s="684"/>
      <c r="W237" s="684"/>
      <c r="X237" s="684"/>
      <c r="Y237" s="684"/>
      <c r="Z237" s="684"/>
      <c r="AA237" s="684"/>
      <c r="AB237" s="684"/>
      <c r="AC237" s="684"/>
      <c r="AD237" s="684"/>
      <c r="AE237" s="684"/>
      <c r="AF237" s="684"/>
      <c r="AG237" s="684"/>
      <c r="AH237" s="684"/>
      <c r="AI237" s="684"/>
      <c r="AJ237" s="684"/>
      <c r="AK237" s="684"/>
      <c r="AL237" s="684"/>
      <c r="AM237" s="684"/>
      <c r="AN237" s="684"/>
      <c r="AO237" s="684"/>
      <c r="AP237" s="684"/>
      <c r="AQ237" s="684"/>
      <c r="AR237" s="684"/>
      <c r="AS237" s="684"/>
      <c r="AT237" s="684"/>
      <c r="AU237" s="684"/>
      <c r="AV237" s="684"/>
      <c r="AW237" s="684"/>
      <c r="AX237" s="684"/>
      <c r="AY237" s="684"/>
      <c r="AZ237" s="684"/>
      <c r="BA237" s="684"/>
      <c r="BB237" s="684"/>
      <c r="BC237" s="684"/>
      <c r="BD237" s="684"/>
      <c r="BE237" s="684"/>
      <c r="BF237" s="684"/>
      <c r="BG237" s="684"/>
      <c r="BH237" s="684"/>
      <c r="BI237" s="684"/>
      <c r="BJ237" s="684"/>
      <c r="BK237" s="684"/>
      <c r="BL237" s="684"/>
      <c r="BM237" s="684"/>
      <c r="BN237" s="684"/>
      <c r="BO237" s="684"/>
      <c r="BP237" s="684"/>
      <c r="BQ237" s="684"/>
      <c r="BR237" s="684"/>
    </row>
    <row r="238" spans="2:70" ht="15" customHeight="1">
      <c r="C238" s="339"/>
      <c r="F238" s="678"/>
      <c r="G238" s="678"/>
      <c r="H238" s="684" t="s">
        <v>2954</v>
      </c>
      <c r="I238" s="684"/>
      <c r="J238" s="684"/>
      <c r="K238" s="684"/>
      <c r="L238" s="684"/>
      <c r="M238" s="684"/>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4"/>
      <c r="AK238" s="684"/>
      <c r="AL238" s="684"/>
      <c r="AM238" s="684"/>
      <c r="AN238" s="684"/>
      <c r="AO238" s="684"/>
      <c r="AP238" s="684"/>
      <c r="AQ238" s="684"/>
      <c r="AR238" s="684"/>
      <c r="AS238" s="684"/>
      <c r="AT238" s="684"/>
      <c r="AU238" s="684"/>
      <c r="AV238" s="684"/>
      <c r="AW238" s="684"/>
      <c r="AX238" s="684"/>
      <c r="AY238" s="684"/>
      <c r="AZ238" s="684"/>
      <c r="BA238" s="684"/>
      <c r="BB238" s="684"/>
      <c r="BC238" s="684"/>
      <c r="BD238" s="684"/>
      <c r="BE238" s="684"/>
      <c r="BF238" s="684"/>
      <c r="BG238" s="684"/>
      <c r="BH238" s="684"/>
      <c r="BI238" s="684"/>
      <c r="BJ238" s="684"/>
      <c r="BK238" s="684"/>
      <c r="BL238" s="684"/>
      <c r="BM238" s="684"/>
      <c r="BN238" s="684"/>
      <c r="BO238" s="684"/>
      <c r="BP238" s="684"/>
      <c r="BQ238" s="684"/>
      <c r="BR238" s="684"/>
    </row>
    <row r="239" spans="2:70" ht="15" customHeight="1">
      <c r="C239" s="339">
        <v>5</v>
      </c>
      <c r="F239" s="678">
        <v>5</v>
      </c>
      <c r="G239" s="678"/>
      <c r="H239" s="680" t="s">
        <v>2953</v>
      </c>
      <c r="I239" s="680"/>
      <c r="J239" s="680"/>
      <c r="K239" s="680"/>
      <c r="L239" s="680"/>
      <c r="M239" s="680"/>
      <c r="N239" s="680"/>
      <c r="O239" s="680"/>
      <c r="P239" s="680"/>
      <c r="Q239" s="680"/>
      <c r="R239" s="680"/>
      <c r="S239" s="680"/>
      <c r="T239" s="680"/>
      <c r="U239" s="680"/>
      <c r="V239" s="680"/>
      <c r="W239" s="680"/>
      <c r="X239" s="680"/>
      <c r="Y239" s="680"/>
      <c r="Z239" s="680"/>
      <c r="AA239" s="680"/>
      <c r="AB239" s="680"/>
      <c r="AC239" s="680"/>
      <c r="AD239" s="680"/>
      <c r="AE239" s="680"/>
      <c r="AF239" s="680"/>
      <c r="AG239" s="680"/>
      <c r="AH239" s="680"/>
      <c r="AI239" s="680"/>
      <c r="AJ239" s="680"/>
      <c r="AK239" s="680"/>
      <c r="AL239" s="680"/>
      <c r="AM239" s="680"/>
      <c r="AN239" s="680"/>
      <c r="AO239" s="680"/>
      <c r="AP239" s="680"/>
      <c r="AQ239" s="680"/>
      <c r="AR239" s="680"/>
      <c r="AS239" s="680"/>
      <c r="AT239" s="680"/>
      <c r="AU239" s="680"/>
      <c r="AV239" s="680"/>
      <c r="AW239" s="680"/>
      <c r="AX239" s="680"/>
      <c r="AY239" s="680"/>
      <c r="AZ239" s="680"/>
      <c r="BA239" s="680"/>
      <c r="BB239" s="680"/>
      <c r="BC239" s="680"/>
      <c r="BD239" s="680"/>
      <c r="BE239" s="680"/>
      <c r="BF239" s="680"/>
      <c r="BG239" s="680"/>
      <c r="BH239" s="680"/>
      <c r="BI239" s="680"/>
      <c r="BJ239" s="680"/>
      <c r="BK239" s="680"/>
      <c r="BL239" s="680"/>
      <c r="BM239" s="680"/>
      <c r="BN239" s="680"/>
      <c r="BO239" s="680"/>
      <c r="BP239" s="680"/>
      <c r="BQ239" s="680"/>
      <c r="BR239" s="680"/>
    </row>
    <row r="240" spans="2:70" ht="15" customHeight="1">
      <c r="C240" s="339">
        <v>6</v>
      </c>
      <c r="F240" s="678">
        <v>6</v>
      </c>
      <c r="G240" s="678"/>
      <c r="H240" s="680" t="s">
        <v>2952</v>
      </c>
      <c r="I240" s="680"/>
      <c r="J240" s="680"/>
      <c r="K240" s="680"/>
      <c r="L240" s="680"/>
      <c r="M240" s="680"/>
      <c r="N240" s="680"/>
      <c r="O240" s="680"/>
      <c r="P240" s="680"/>
      <c r="Q240" s="680"/>
      <c r="R240" s="680"/>
      <c r="S240" s="680"/>
      <c r="T240" s="680"/>
      <c r="U240" s="680"/>
      <c r="V240" s="680"/>
      <c r="W240" s="680"/>
      <c r="X240" s="680"/>
      <c r="Y240" s="680"/>
      <c r="Z240" s="680"/>
      <c r="AA240" s="680"/>
      <c r="AB240" s="680"/>
      <c r="AC240" s="680"/>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680"/>
      <c r="AY240" s="680"/>
      <c r="AZ240" s="680"/>
      <c r="BA240" s="680"/>
      <c r="BB240" s="680"/>
      <c r="BC240" s="680"/>
      <c r="BD240" s="680"/>
      <c r="BE240" s="680"/>
      <c r="BF240" s="680"/>
      <c r="BG240" s="680"/>
      <c r="BH240" s="680"/>
      <c r="BI240" s="680"/>
      <c r="BJ240" s="680"/>
      <c r="BK240" s="680"/>
      <c r="BL240" s="680"/>
      <c r="BM240" s="680"/>
      <c r="BN240" s="680"/>
      <c r="BO240" s="680"/>
      <c r="BP240" s="680"/>
      <c r="BQ240" s="680"/>
      <c r="BR240" s="680"/>
    </row>
  </sheetData>
  <mergeCells count="284">
    <mergeCell ref="F237:G237"/>
    <mergeCell ref="H237:BR237"/>
    <mergeCell ref="F238:G238"/>
    <mergeCell ref="H238:BR238"/>
    <mergeCell ref="F239:G239"/>
    <mergeCell ref="H239:BR239"/>
    <mergeCell ref="F240:G240"/>
    <mergeCell ref="H240:BR240"/>
    <mergeCell ref="B234:D234"/>
    <mergeCell ref="F234:G234"/>
    <mergeCell ref="H234:BR234"/>
    <mergeCell ref="F235:G235"/>
    <mergeCell ref="H235:BR235"/>
    <mergeCell ref="F236:G236"/>
    <mergeCell ref="H236:BR236"/>
    <mergeCell ref="BM224:BQ228"/>
    <mergeCell ref="B217:D219"/>
    <mergeCell ref="E217:S219"/>
    <mergeCell ref="V219:X220"/>
    <mergeCell ref="Y219:AG220"/>
    <mergeCell ref="Y221:Z222"/>
    <mergeCell ref="AA221:BO222"/>
    <mergeCell ref="AB229:AQ233"/>
    <mergeCell ref="AT229:AY233"/>
    <mergeCell ref="BB229:BC233"/>
    <mergeCell ref="BP221:BQ222"/>
    <mergeCell ref="T224:Y228"/>
    <mergeCell ref="AB224:AE228"/>
    <mergeCell ref="AG224:AM228"/>
    <mergeCell ref="AN224:AQ228"/>
    <mergeCell ref="AT224:AY228"/>
    <mergeCell ref="BB224:BI228"/>
    <mergeCell ref="BD229:BG233"/>
    <mergeCell ref="BH229:BI233"/>
    <mergeCell ref="BJ229:BK233"/>
    <mergeCell ref="BL229:BO233"/>
    <mergeCell ref="B228:D229"/>
    <mergeCell ref="E228:R229"/>
    <mergeCell ref="T229:Y233"/>
    <mergeCell ref="AL205:AS206"/>
    <mergeCell ref="AV205:BP206"/>
    <mergeCell ref="B208:C212"/>
    <mergeCell ref="E208:R212"/>
    <mergeCell ref="AA208:AG212"/>
    <mergeCell ref="AI208:AN212"/>
    <mergeCell ref="V214:X215"/>
    <mergeCell ref="Y214:BC215"/>
    <mergeCell ref="Y216:AA217"/>
    <mergeCell ref="AB216:AF217"/>
    <mergeCell ref="AG216:AJ217"/>
    <mergeCell ref="AK216:AO217"/>
    <mergeCell ref="AP216:AQ217"/>
    <mergeCell ref="T199:U200"/>
    <mergeCell ref="V199:X200"/>
    <mergeCell ref="Y199:AI200"/>
    <mergeCell ref="AL199:AO200"/>
    <mergeCell ref="AP199:BP200"/>
    <mergeCell ref="B200:C202"/>
    <mergeCell ref="E200:R202"/>
    <mergeCell ref="T202:U203"/>
    <mergeCell ref="V202:X203"/>
    <mergeCell ref="Y202:AF203"/>
    <mergeCell ref="AL202:AS203"/>
    <mergeCell ref="AT202:AU203"/>
    <mergeCell ref="AV202:BP203"/>
    <mergeCell ref="AI190:BR191"/>
    <mergeCell ref="AI192:AO193"/>
    <mergeCell ref="AP192:AT193"/>
    <mergeCell ref="AU192:AW193"/>
    <mergeCell ref="AX192:BA193"/>
    <mergeCell ref="BB192:BG193"/>
    <mergeCell ref="BH192:BK193"/>
    <mergeCell ref="B195:C196"/>
    <mergeCell ref="E195:S196"/>
    <mergeCell ref="Z195:AA196"/>
    <mergeCell ref="AB195:AJ196"/>
    <mergeCell ref="AK195:AL196"/>
    <mergeCell ref="AN195:AO196"/>
    <mergeCell ref="AP195:AX196"/>
    <mergeCell ref="B183:C186"/>
    <mergeCell ref="E183:R186"/>
    <mergeCell ref="T183:W186"/>
    <mergeCell ref="X183:Y186"/>
    <mergeCell ref="AA183:AG186"/>
    <mergeCell ref="AH184:AM185"/>
    <mergeCell ref="AN184:BR185"/>
    <mergeCell ref="AI186:BR187"/>
    <mergeCell ref="AI188:BR189"/>
    <mergeCell ref="AI180:AL181"/>
    <mergeCell ref="AM180:AT181"/>
    <mergeCell ref="AU180:AZ181"/>
    <mergeCell ref="BA180:BP181"/>
    <mergeCell ref="BQ180:BQ181"/>
    <mergeCell ref="AZ163:BA168"/>
    <mergeCell ref="BB163:BN168"/>
    <mergeCell ref="BO163:BP168"/>
    <mergeCell ref="B165:C166"/>
    <mergeCell ref="E165:R166"/>
    <mergeCell ref="E155:S157"/>
    <mergeCell ref="U155:BQ157"/>
    <mergeCell ref="U159:AF161"/>
    <mergeCell ref="B170:C172"/>
    <mergeCell ref="E170:R172"/>
    <mergeCell ref="U170:BQ172"/>
    <mergeCell ref="B175:C177"/>
    <mergeCell ref="E175:R177"/>
    <mergeCell ref="U175:BM177"/>
    <mergeCell ref="U163:AN168"/>
    <mergeCell ref="AP163:AY168"/>
    <mergeCell ref="AI133:BN134"/>
    <mergeCell ref="E135:K136"/>
    <mergeCell ref="M135:N136"/>
    <mergeCell ref="AR135:BM136"/>
    <mergeCell ref="AT159:AV161"/>
    <mergeCell ref="AW159:AX161"/>
    <mergeCell ref="U142:BQ144"/>
    <mergeCell ref="B138:C140"/>
    <mergeCell ref="E138:R140"/>
    <mergeCell ref="AG138:AI140"/>
    <mergeCell ref="AP138:AR140"/>
    <mergeCell ref="AY138:BA140"/>
    <mergeCell ref="AG159:AL161"/>
    <mergeCell ref="AM159:AP161"/>
    <mergeCell ref="AQ159:AS161"/>
    <mergeCell ref="BA159:BB161"/>
    <mergeCell ref="B143:C148"/>
    <mergeCell ref="E143:S148"/>
    <mergeCell ref="U146:BQ148"/>
    <mergeCell ref="E151:S153"/>
    <mergeCell ref="U151:BQ153"/>
    <mergeCell ref="B153:C159"/>
    <mergeCell ref="BC159:BN161"/>
    <mergeCell ref="BO159:BP161"/>
    <mergeCell ref="B125:BR128"/>
    <mergeCell ref="S129:AA130"/>
    <mergeCell ref="F130:Q131"/>
    <mergeCell ref="AC130:BQ131"/>
    <mergeCell ref="F115:G115"/>
    <mergeCell ref="H115:BR115"/>
    <mergeCell ref="S131:AA132"/>
    <mergeCell ref="F116:G116"/>
    <mergeCell ref="H116:BR116"/>
    <mergeCell ref="F117:G117"/>
    <mergeCell ref="H117:BR117"/>
    <mergeCell ref="F118:G118"/>
    <mergeCell ref="H118:BR118"/>
    <mergeCell ref="BF122:BH124"/>
    <mergeCell ref="BI122:BK124"/>
    <mergeCell ref="BL122:BN124"/>
    <mergeCell ref="BO122:BQ124"/>
    <mergeCell ref="BC122:BE124"/>
    <mergeCell ref="B112:D112"/>
    <mergeCell ref="F112:G112"/>
    <mergeCell ref="H112:BR112"/>
    <mergeCell ref="B106:D107"/>
    <mergeCell ref="E106:R107"/>
    <mergeCell ref="T107:Y111"/>
    <mergeCell ref="F113:G113"/>
    <mergeCell ref="H113:BR113"/>
    <mergeCell ref="F114:G114"/>
    <mergeCell ref="H114:BR114"/>
    <mergeCell ref="BM102:BQ106"/>
    <mergeCell ref="BP99:BQ100"/>
    <mergeCell ref="T102:Y106"/>
    <mergeCell ref="AB102:AE106"/>
    <mergeCell ref="AG102:AM106"/>
    <mergeCell ref="AN102:AQ106"/>
    <mergeCell ref="AT102:AY106"/>
    <mergeCell ref="BB102:BI106"/>
    <mergeCell ref="BD107:BG111"/>
    <mergeCell ref="BH107:BI111"/>
    <mergeCell ref="BJ107:BK111"/>
    <mergeCell ref="BL107:BO111"/>
    <mergeCell ref="Y99:Z100"/>
    <mergeCell ref="AA99:BO100"/>
    <mergeCell ref="AB107:AQ111"/>
    <mergeCell ref="AT107:AY111"/>
    <mergeCell ref="BB107:BC111"/>
    <mergeCell ref="AV83:BP84"/>
    <mergeCell ref="B86:C90"/>
    <mergeCell ref="E86:R90"/>
    <mergeCell ref="AA86:AG90"/>
    <mergeCell ref="AI86:AN90"/>
    <mergeCell ref="V92:X93"/>
    <mergeCell ref="Y92:BC93"/>
    <mergeCell ref="Y94:AA95"/>
    <mergeCell ref="AB94:AF95"/>
    <mergeCell ref="AG94:AJ95"/>
    <mergeCell ref="AK94:AO95"/>
    <mergeCell ref="AP94:AQ95"/>
    <mergeCell ref="B95:D97"/>
    <mergeCell ref="E95:S97"/>
    <mergeCell ref="V97:X98"/>
    <mergeCell ref="Y97:AG98"/>
    <mergeCell ref="B73:C74"/>
    <mergeCell ref="E73:S74"/>
    <mergeCell ref="Z73:AA74"/>
    <mergeCell ref="AB73:AJ74"/>
    <mergeCell ref="AK73:AL74"/>
    <mergeCell ref="AN73:AO74"/>
    <mergeCell ref="AP73:AX74"/>
    <mergeCell ref="T77:U78"/>
    <mergeCell ref="V77:X78"/>
    <mergeCell ref="Y77:AI78"/>
    <mergeCell ref="AL77:AO78"/>
    <mergeCell ref="AP77:BP78"/>
    <mergeCell ref="B78:C80"/>
    <mergeCell ref="E78:R80"/>
    <mergeCell ref="T80:U81"/>
    <mergeCell ref="V80:X81"/>
    <mergeCell ref="Y80:AF81"/>
    <mergeCell ref="AL80:AS81"/>
    <mergeCell ref="AT80:AU81"/>
    <mergeCell ref="AV80:BP81"/>
    <mergeCell ref="BQ58:BQ59"/>
    <mergeCell ref="U41:AN46"/>
    <mergeCell ref="AP41:AY46"/>
    <mergeCell ref="AZ41:BA46"/>
    <mergeCell ref="BB41:BN46"/>
    <mergeCell ref="BO41:BP46"/>
    <mergeCell ref="B61:C64"/>
    <mergeCell ref="E61:R64"/>
    <mergeCell ref="T61:W64"/>
    <mergeCell ref="X61:Y64"/>
    <mergeCell ref="AA61:AG64"/>
    <mergeCell ref="AH62:AM63"/>
    <mergeCell ref="AN62:BR63"/>
    <mergeCell ref="AI64:BR65"/>
    <mergeCell ref="B43:C44"/>
    <mergeCell ref="E43:R44"/>
    <mergeCell ref="B48:C50"/>
    <mergeCell ref="E48:R50"/>
    <mergeCell ref="U48:BQ50"/>
    <mergeCell ref="B53:C55"/>
    <mergeCell ref="E53:R55"/>
    <mergeCell ref="U53:BM55"/>
    <mergeCell ref="AG37:AL39"/>
    <mergeCell ref="AM37:AP39"/>
    <mergeCell ref="AQ37:AS39"/>
    <mergeCell ref="AW37:AX39"/>
    <mergeCell ref="U33:BQ35"/>
    <mergeCell ref="U37:AF39"/>
    <mergeCell ref="B5:BR12"/>
    <mergeCell ref="B16:C18"/>
    <mergeCell ref="E16:R18"/>
    <mergeCell ref="AG16:AI18"/>
    <mergeCell ref="AP16:AR18"/>
    <mergeCell ref="AY16:BA18"/>
    <mergeCell ref="AT37:AV39"/>
    <mergeCell ref="BA37:BB39"/>
    <mergeCell ref="U20:BQ22"/>
    <mergeCell ref="B21:C26"/>
    <mergeCell ref="E21:S26"/>
    <mergeCell ref="U24:BQ26"/>
    <mergeCell ref="E29:S31"/>
    <mergeCell ref="U29:BQ31"/>
    <mergeCell ref="B31:C37"/>
    <mergeCell ref="BC37:BN39"/>
    <mergeCell ref="E33:S35"/>
    <mergeCell ref="BO37:BP39"/>
    <mergeCell ref="AB138:AF140"/>
    <mergeCell ref="AK138:AO140"/>
    <mergeCell ref="AT138:AX140"/>
    <mergeCell ref="Z16:AF18"/>
    <mergeCell ref="AK16:AO18"/>
    <mergeCell ref="AT16:AX18"/>
    <mergeCell ref="AG122:AI124"/>
    <mergeCell ref="AJ122:AK124"/>
    <mergeCell ref="AV122:AW124"/>
    <mergeCell ref="AL122:AU124"/>
    <mergeCell ref="AX122:BB124"/>
    <mergeCell ref="AI58:AL59"/>
    <mergeCell ref="AM58:AT59"/>
    <mergeCell ref="AU58:AZ59"/>
    <mergeCell ref="BA58:BP59"/>
    <mergeCell ref="AI66:BR67"/>
    <mergeCell ref="AI68:BR69"/>
    <mergeCell ref="AI70:AO71"/>
    <mergeCell ref="AP70:AT71"/>
    <mergeCell ref="AU70:AW71"/>
    <mergeCell ref="AX70:BA71"/>
    <mergeCell ref="BB70:BG71"/>
    <mergeCell ref="BH70:BK71"/>
    <mergeCell ref="AL83:AS84"/>
  </mergeCells>
  <phoneticPr fontId="57"/>
  <dataValidations count="2">
    <dataValidation type="list" allowBlank="1" showInputMessage="1" showErrorMessage="1" sqref="BJ107:BK111 BJ229:BK233 BJ65643:BK65647 BJ65765:BK65769 BJ131179:BK131183 BJ131301:BK131305 BJ196715:BK196719 BJ196837:BK196841 BJ262251:BK262255 BJ262373:BK262377 BJ327787:BK327791 BJ327909:BK327913 BJ393323:BK393327 BJ393445:BK393449 BJ458859:BK458863 BJ458981:BK458985 BJ524395:BK524399 BJ524517:BK524521 BJ589931:BK589935 BJ590053:BK590057 BJ655467:BK655471 BJ655589:BK655593 BJ721003:BK721007 BJ721125:BK721129 BJ786539:BK786543 BJ786661:BK786665 BJ852075:BK852079 BJ852197:BK852201 BJ917611:BK917615 BJ917733:BK917737 BJ983147:BK983151 BJ983269:BK983273 LF107:LG111 LF229:LG233 LF65643:LG65647 LF65765:LG65769 LF131179:LG131183 LF131301:LG131305 LF196715:LG196719 LF196837:LG196841 LF262251:LG262255 LF262373:LG262377 LF327787:LG327791 LF327909:LG327913 LF393323:LG393327 LF393445:LG393449 LF458859:LG458863 LF458981:LG458985 LF524395:LG524399 LF524517:LG524521 LF589931:LG589935 LF590053:LG590057 LF655467:LG655471 LF655589:LG655593 LF721003:LG721007 LF721125:LG721129 LF786539:LG786543 LF786661:LG786665 LF852075:LG852079 LF852197:LG852201 LF917611:LG917615 LF917733:LG917737 LF983147:LG983151 LF983269:LG983273 VB107:VC111 VB229:VC233 VB65643:VC65647 VB65765:VC65769 VB131179:VC131183 VB131301:VC131305 VB196715:VC196719 VB196837:VC196841 VB262251:VC262255 VB262373:VC262377 VB327787:VC327791 VB327909:VC327913 VB393323:VC393327 VB393445:VC393449 VB458859:VC458863 VB458981:VC458985 VB524395:VC524399 VB524517:VC524521 VB589931:VC589935 VB590053:VC590057 VB655467:VC655471 VB655589:VC655593 VB721003:VC721007 VB721125:VC721129 VB786539:VC786543 VB786661:VC786665 VB852075:VC852079 VB852197:VC852201 VB917611:VC917615 VB917733:VC917737 VB983147:VC983151 VB983269:VC983273 AEX107:AEY111 AEX229:AEY233 AEX65643:AEY65647 AEX65765:AEY65769 AEX131179:AEY131183 AEX131301:AEY131305 AEX196715:AEY196719 AEX196837:AEY196841 AEX262251:AEY262255 AEX262373:AEY262377 AEX327787:AEY327791 AEX327909:AEY327913 AEX393323:AEY393327 AEX393445:AEY393449 AEX458859:AEY458863 AEX458981:AEY458985 AEX524395:AEY524399 AEX524517:AEY524521 AEX589931:AEY589935 AEX590053:AEY590057 AEX655467:AEY655471 AEX655589:AEY655593 AEX721003:AEY721007 AEX721125:AEY721129 AEX786539:AEY786543 AEX786661:AEY786665 AEX852075:AEY852079 AEX852197:AEY852201 AEX917611:AEY917615 AEX917733:AEY917737 AEX983147:AEY983151 AEX983269:AEY983273 AOT107:AOU111 AOT229:AOU233 AOT65643:AOU65647 AOT65765:AOU65769 AOT131179:AOU131183 AOT131301:AOU131305 AOT196715:AOU196719 AOT196837:AOU196841 AOT262251:AOU262255 AOT262373:AOU262377 AOT327787:AOU327791 AOT327909:AOU327913 AOT393323:AOU393327 AOT393445:AOU393449 AOT458859:AOU458863 AOT458981:AOU458985 AOT524395:AOU524399 AOT524517:AOU524521 AOT589931:AOU589935 AOT590053:AOU590057 AOT655467:AOU655471 AOT655589:AOU655593 AOT721003:AOU721007 AOT721125:AOU721129 AOT786539:AOU786543 AOT786661:AOU786665 AOT852075:AOU852079 AOT852197:AOU852201 AOT917611:AOU917615 AOT917733:AOU917737 AOT983147:AOU983151 AOT983269:AOU983273 AYP107:AYQ111 AYP229:AYQ233 AYP65643:AYQ65647 AYP65765:AYQ65769 AYP131179:AYQ131183 AYP131301:AYQ131305 AYP196715:AYQ196719 AYP196837:AYQ196841 AYP262251:AYQ262255 AYP262373:AYQ262377 AYP327787:AYQ327791 AYP327909:AYQ327913 AYP393323:AYQ393327 AYP393445:AYQ393449 AYP458859:AYQ458863 AYP458981:AYQ458985 AYP524395:AYQ524399 AYP524517:AYQ524521 AYP589931:AYQ589935 AYP590053:AYQ590057 AYP655467:AYQ655471 AYP655589:AYQ655593 AYP721003:AYQ721007 AYP721125:AYQ721129 AYP786539:AYQ786543 AYP786661:AYQ786665 AYP852075:AYQ852079 AYP852197:AYQ852201 AYP917611:AYQ917615 AYP917733:AYQ917737 AYP983147:AYQ983151 AYP983269:AYQ983273 BIL107:BIM111 BIL229:BIM233 BIL65643:BIM65647 BIL65765:BIM65769 BIL131179:BIM131183 BIL131301:BIM131305 BIL196715:BIM196719 BIL196837:BIM196841 BIL262251:BIM262255 BIL262373:BIM262377 BIL327787:BIM327791 BIL327909:BIM327913 BIL393323:BIM393327 BIL393445:BIM393449 BIL458859:BIM458863 BIL458981:BIM458985 BIL524395:BIM524399 BIL524517:BIM524521 BIL589931:BIM589935 BIL590053:BIM590057 BIL655467:BIM655471 BIL655589:BIM655593 BIL721003:BIM721007 BIL721125:BIM721129 BIL786539:BIM786543 BIL786661:BIM786665 BIL852075:BIM852079 BIL852197:BIM852201 BIL917611:BIM917615 BIL917733:BIM917737 BIL983147:BIM983151 BIL983269:BIM983273 BSH107:BSI111 BSH229:BSI233 BSH65643:BSI65647 BSH65765:BSI65769 BSH131179:BSI131183 BSH131301:BSI131305 BSH196715:BSI196719 BSH196837:BSI196841 BSH262251:BSI262255 BSH262373:BSI262377 BSH327787:BSI327791 BSH327909:BSI327913 BSH393323:BSI393327 BSH393445:BSI393449 BSH458859:BSI458863 BSH458981:BSI458985 BSH524395:BSI524399 BSH524517:BSI524521 BSH589931:BSI589935 BSH590053:BSI590057 BSH655467:BSI655471 BSH655589:BSI655593 BSH721003:BSI721007 BSH721125:BSI721129 BSH786539:BSI786543 BSH786661:BSI786665 BSH852075:BSI852079 BSH852197:BSI852201 BSH917611:BSI917615 BSH917733:BSI917737 BSH983147:BSI983151 BSH983269:BSI983273 CCD107:CCE111 CCD229:CCE233 CCD65643:CCE65647 CCD65765:CCE65769 CCD131179:CCE131183 CCD131301:CCE131305 CCD196715:CCE196719 CCD196837:CCE196841 CCD262251:CCE262255 CCD262373:CCE262377 CCD327787:CCE327791 CCD327909:CCE327913 CCD393323:CCE393327 CCD393445:CCE393449 CCD458859:CCE458863 CCD458981:CCE458985 CCD524395:CCE524399 CCD524517:CCE524521 CCD589931:CCE589935 CCD590053:CCE590057 CCD655467:CCE655471 CCD655589:CCE655593 CCD721003:CCE721007 CCD721125:CCE721129 CCD786539:CCE786543 CCD786661:CCE786665 CCD852075:CCE852079 CCD852197:CCE852201 CCD917611:CCE917615 CCD917733:CCE917737 CCD983147:CCE983151 CCD983269:CCE983273 CLZ107:CMA111 CLZ229:CMA233 CLZ65643:CMA65647 CLZ65765:CMA65769 CLZ131179:CMA131183 CLZ131301:CMA131305 CLZ196715:CMA196719 CLZ196837:CMA196841 CLZ262251:CMA262255 CLZ262373:CMA262377 CLZ327787:CMA327791 CLZ327909:CMA327913 CLZ393323:CMA393327 CLZ393445:CMA393449 CLZ458859:CMA458863 CLZ458981:CMA458985 CLZ524395:CMA524399 CLZ524517:CMA524521 CLZ589931:CMA589935 CLZ590053:CMA590057 CLZ655467:CMA655471 CLZ655589:CMA655593 CLZ721003:CMA721007 CLZ721125:CMA721129 CLZ786539:CMA786543 CLZ786661:CMA786665 CLZ852075:CMA852079 CLZ852197:CMA852201 CLZ917611:CMA917615 CLZ917733:CMA917737 CLZ983147:CMA983151 CLZ983269:CMA983273 CVV107:CVW111 CVV229:CVW233 CVV65643:CVW65647 CVV65765:CVW65769 CVV131179:CVW131183 CVV131301:CVW131305 CVV196715:CVW196719 CVV196837:CVW196841 CVV262251:CVW262255 CVV262373:CVW262377 CVV327787:CVW327791 CVV327909:CVW327913 CVV393323:CVW393327 CVV393445:CVW393449 CVV458859:CVW458863 CVV458981:CVW458985 CVV524395:CVW524399 CVV524517:CVW524521 CVV589931:CVW589935 CVV590053:CVW590057 CVV655467:CVW655471 CVV655589:CVW655593 CVV721003:CVW721007 CVV721125:CVW721129 CVV786539:CVW786543 CVV786661:CVW786665 CVV852075:CVW852079 CVV852197:CVW852201 CVV917611:CVW917615 CVV917733:CVW917737 CVV983147:CVW983151 CVV983269:CVW983273 DFR107:DFS111 DFR229:DFS233 DFR65643:DFS65647 DFR65765:DFS65769 DFR131179:DFS131183 DFR131301:DFS131305 DFR196715:DFS196719 DFR196837:DFS196841 DFR262251:DFS262255 DFR262373:DFS262377 DFR327787:DFS327791 DFR327909:DFS327913 DFR393323:DFS393327 DFR393445:DFS393449 DFR458859:DFS458863 DFR458981:DFS458985 DFR524395:DFS524399 DFR524517:DFS524521 DFR589931:DFS589935 DFR590053:DFS590057 DFR655467:DFS655471 DFR655589:DFS655593 DFR721003:DFS721007 DFR721125:DFS721129 DFR786539:DFS786543 DFR786661:DFS786665 DFR852075:DFS852079 DFR852197:DFS852201 DFR917611:DFS917615 DFR917733:DFS917737 DFR983147:DFS983151 DFR983269:DFS983273 DPN107:DPO111 DPN229:DPO233 DPN65643:DPO65647 DPN65765:DPO65769 DPN131179:DPO131183 DPN131301:DPO131305 DPN196715:DPO196719 DPN196837:DPO196841 DPN262251:DPO262255 DPN262373:DPO262377 DPN327787:DPO327791 DPN327909:DPO327913 DPN393323:DPO393327 DPN393445:DPO393449 DPN458859:DPO458863 DPN458981:DPO458985 DPN524395:DPO524399 DPN524517:DPO524521 DPN589931:DPO589935 DPN590053:DPO590057 DPN655467:DPO655471 DPN655589:DPO655593 DPN721003:DPO721007 DPN721125:DPO721129 DPN786539:DPO786543 DPN786661:DPO786665 DPN852075:DPO852079 DPN852197:DPO852201 DPN917611:DPO917615 DPN917733:DPO917737 DPN983147:DPO983151 DPN983269:DPO983273 DZJ107:DZK111 DZJ229:DZK233 DZJ65643:DZK65647 DZJ65765:DZK65769 DZJ131179:DZK131183 DZJ131301:DZK131305 DZJ196715:DZK196719 DZJ196837:DZK196841 DZJ262251:DZK262255 DZJ262373:DZK262377 DZJ327787:DZK327791 DZJ327909:DZK327913 DZJ393323:DZK393327 DZJ393445:DZK393449 DZJ458859:DZK458863 DZJ458981:DZK458985 DZJ524395:DZK524399 DZJ524517:DZK524521 DZJ589931:DZK589935 DZJ590053:DZK590057 DZJ655467:DZK655471 DZJ655589:DZK655593 DZJ721003:DZK721007 DZJ721125:DZK721129 DZJ786539:DZK786543 DZJ786661:DZK786665 DZJ852075:DZK852079 DZJ852197:DZK852201 DZJ917611:DZK917615 DZJ917733:DZK917737 DZJ983147:DZK983151 DZJ983269:DZK983273 EJF107:EJG111 EJF229:EJG233 EJF65643:EJG65647 EJF65765:EJG65769 EJF131179:EJG131183 EJF131301:EJG131305 EJF196715:EJG196719 EJF196837:EJG196841 EJF262251:EJG262255 EJF262373:EJG262377 EJF327787:EJG327791 EJF327909:EJG327913 EJF393323:EJG393327 EJF393445:EJG393449 EJF458859:EJG458863 EJF458981:EJG458985 EJF524395:EJG524399 EJF524517:EJG524521 EJF589931:EJG589935 EJF590053:EJG590057 EJF655467:EJG655471 EJF655589:EJG655593 EJF721003:EJG721007 EJF721125:EJG721129 EJF786539:EJG786543 EJF786661:EJG786665 EJF852075:EJG852079 EJF852197:EJG852201 EJF917611:EJG917615 EJF917733:EJG917737 EJF983147:EJG983151 EJF983269:EJG983273 ETB107:ETC111 ETB229:ETC233 ETB65643:ETC65647 ETB65765:ETC65769 ETB131179:ETC131183 ETB131301:ETC131305 ETB196715:ETC196719 ETB196837:ETC196841 ETB262251:ETC262255 ETB262373:ETC262377 ETB327787:ETC327791 ETB327909:ETC327913 ETB393323:ETC393327 ETB393445:ETC393449 ETB458859:ETC458863 ETB458981:ETC458985 ETB524395:ETC524399 ETB524517:ETC524521 ETB589931:ETC589935 ETB590053:ETC590057 ETB655467:ETC655471 ETB655589:ETC655593 ETB721003:ETC721007 ETB721125:ETC721129 ETB786539:ETC786543 ETB786661:ETC786665 ETB852075:ETC852079 ETB852197:ETC852201 ETB917611:ETC917615 ETB917733:ETC917737 ETB983147:ETC983151 ETB983269:ETC983273 FCX107:FCY111 FCX229:FCY233 FCX65643:FCY65647 FCX65765:FCY65769 FCX131179:FCY131183 FCX131301:FCY131305 FCX196715:FCY196719 FCX196837:FCY196841 FCX262251:FCY262255 FCX262373:FCY262377 FCX327787:FCY327791 FCX327909:FCY327913 FCX393323:FCY393327 FCX393445:FCY393449 FCX458859:FCY458863 FCX458981:FCY458985 FCX524395:FCY524399 FCX524517:FCY524521 FCX589931:FCY589935 FCX590053:FCY590057 FCX655467:FCY655471 FCX655589:FCY655593 FCX721003:FCY721007 FCX721125:FCY721129 FCX786539:FCY786543 FCX786661:FCY786665 FCX852075:FCY852079 FCX852197:FCY852201 FCX917611:FCY917615 FCX917733:FCY917737 FCX983147:FCY983151 FCX983269:FCY983273 FMT107:FMU111 FMT229:FMU233 FMT65643:FMU65647 FMT65765:FMU65769 FMT131179:FMU131183 FMT131301:FMU131305 FMT196715:FMU196719 FMT196837:FMU196841 FMT262251:FMU262255 FMT262373:FMU262377 FMT327787:FMU327791 FMT327909:FMU327913 FMT393323:FMU393327 FMT393445:FMU393449 FMT458859:FMU458863 FMT458981:FMU458985 FMT524395:FMU524399 FMT524517:FMU524521 FMT589931:FMU589935 FMT590053:FMU590057 FMT655467:FMU655471 FMT655589:FMU655593 FMT721003:FMU721007 FMT721125:FMU721129 FMT786539:FMU786543 FMT786661:FMU786665 FMT852075:FMU852079 FMT852197:FMU852201 FMT917611:FMU917615 FMT917733:FMU917737 FMT983147:FMU983151 FMT983269:FMU983273 FWP107:FWQ111 FWP229:FWQ233 FWP65643:FWQ65647 FWP65765:FWQ65769 FWP131179:FWQ131183 FWP131301:FWQ131305 FWP196715:FWQ196719 FWP196837:FWQ196841 FWP262251:FWQ262255 FWP262373:FWQ262377 FWP327787:FWQ327791 FWP327909:FWQ327913 FWP393323:FWQ393327 FWP393445:FWQ393449 FWP458859:FWQ458863 FWP458981:FWQ458985 FWP524395:FWQ524399 FWP524517:FWQ524521 FWP589931:FWQ589935 FWP590053:FWQ590057 FWP655467:FWQ655471 FWP655589:FWQ655593 FWP721003:FWQ721007 FWP721125:FWQ721129 FWP786539:FWQ786543 FWP786661:FWQ786665 FWP852075:FWQ852079 FWP852197:FWQ852201 FWP917611:FWQ917615 FWP917733:FWQ917737 FWP983147:FWQ983151 FWP983269:FWQ983273 GGL107:GGM111 GGL229:GGM233 GGL65643:GGM65647 GGL65765:GGM65769 GGL131179:GGM131183 GGL131301:GGM131305 GGL196715:GGM196719 GGL196837:GGM196841 GGL262251:GGM262255 GGL262373:GGM262377 GGL327787:GGM327791 GGL327909:GGM327913 GGL393323:GGM393327 GGL393445:GGM393449 GGL458859:GGM458863 GGL458981:GGM458985 GGL524395:GGM524399 GGL524517:GGM524521 GGL589931:GGM589935 GGL590053:GGM590057 GGL655467:GGM655471 GGL655589:GGM655593 GGL721003:GGM721007 GGL721125:GGM721129 GGL786539:GGM786543 GGL786661:GGM786665 GGL852075:GGM852079 GGL852197:GGM852201 GGL917611:GGM917615 GGL917733:GGM917737 GGL983147:GGM983151 GGL983269:GGM983273 GQH107:GQI111 GQH229:GQI233 GQH65643:GQI65647 GQH65765:GQI65769 GQH131179:GQI131183 GQH131301:GQI131305 GQH196715:GQI196719 GQH196837:GQI196841 GQH262251:GQI262255 GQH262373:GQI262377 GQH327787:GQI327791 GQH327909:GQI327913 GQH393323:GQI393327 GQH393445:GQI393449 GQH458859:GQI458863 GQH458981:GQI458985 GQH524395:GQI524399 GQH524517:GQI524521 GQH589931:GQI589935 GQH590053:GQI590057 GQH655467:GQI655471 GQH655589:GQI655593 GQH721003:GQI721007 GQH721125:GQI721129 GQH786539:GQI786543 GQH786661:GQI786665 GQH852075:GQI852079 GQH852197:GQI852201 GQH917611:GQI917615 GQH917733:GQI917737 GQH983147:GQI983151 GQH983269:GQI983273 HAD107:HAE111 HAD229:HAE233 HAD65643:HAE65647 HAD65765:HAE65769 HAD131179:HAE131183 HAD131301:HAE131305 HAD196715:HAE196719 HAD196837:HAE196841 HAD262251:HAE262255 HAD262373:HAE262377 HAD327787:HAE327791 HAD327909:HAE327913 HAD393323:HAE393327 HAD393445:HAE393449 HAD458859:HAE458863 HAD458981:HAE458985 HAD524395:HAE524399 HAD524517:HAE524521 HAD589931:HAE589935 HAD590053:HAE590057 HAD655467:HAE655471 HAD655589:HAE655593 HAD721003:HAE721007 HAD721125:HAE721129 HAD786539:HAE786543 HAD786661:HAE786665 HAD852075:HAE852079 HAD852197:HAE852201 HAD917611:HAE917615 HAD917733:HAE917737 HAD983147:HAE983151 HAD983269:HAE983273 HJZ107:HKA111 HJZ229:HKA233 HJZ65643:HKA65647 HJZ65765:HKA65769 HJZ131179:HKA131183 HJZ131301:HKA131305 HJZ196715:HKA196719 HJZ196837:HKA196841 HJZ262251:HKA262255 HJZ262373:HKA262377 HJZ327787:HKA327791 HJZ327909:HKA327913 HJZ393323:HKA393327 HJZ393445:HKA393449 HJZ458859:HKA458863 HJZ458981:HKA458985 HJZ524395:HKA524399 HJZ524517:HKA524521 HJZ589931:HKA589935 HJZ590053:HKA590057 HJZ655467:HKA655471 HJZ655589:HKA655593 HJZ721003:HKA721007 HJZ721125:HKA721129 HJZ786539:HKA786543 HJZ786661:HKA786665 HJZ852075:HKA852079 HJZ852197:HKA852201 HJZ917611:HKA917615 HJZ917733:HKA917737 HJZ983147:HKA983151 HJZ983269:HKA983273 HTV107:HTW111 HTV229:HTW233 HTV65643:HTW65647 HTV65765:HTW65769 HTV131179:HTW131183 HTV131301:HTW131305 HTV196715:HTW196719 HTV196837:HTW196841 HTV262251:HTW262255 HTV262373:HTW262377 HTV327787:HTW327791 HTV327909:HTW327913 HTV393323:HTW393327 HTV393445:HTW393449 HTV458859:HTW458863 HTV458981:HTW458985 HTV524395:HTW524399 HTV524517:HTW524521 HTV589931:HTW589935 HTV590053:HTW590057 HTV655467:HTW655471 HTV655589:HTW655593 HTV721003:HTW721007 HTV721125:HTW721129 HTV786539:HTW786543 HTV786661:HTW786665 HTV852075:HTW852079 HTV852197:HTW852201 HTV917611:HTW917615 HTV917733:HTW917737 HTV983147:HTW983151 HTV983269:HTW983273 IDR107:IDS111 IDR229:IDS233 IDR65643:IDS65647 IDR65765:IDS65769 IDR131179:IDS131183 IDR131301:IDS131305 IDR196715:IDS196719 IDR196837:IDS196841 IDR262251:IDS262255 IDR262373:IDS262377 IDR327787:IDS327791 IDR327909:IDS327913 IDR393323:IDS393327 IDR393445:IDS393449 IDR458859:IDS458863 IDR458981:IDS458985 IDR524395:IDS524399 IDR524517:IDS524521 IDR589931:IDS589935 IDR590053:IDS590057 IDR655467:IDS655471 IDR655589:IDS655593 IDR721003:IDS721007 IDR721125:IDS721129 IDR786539:IDS786543 IDR786661:IDS786665 IDR852075:IDS852079 IDR852197:IDS852201 IDR917611:IDS917615 IDR917733:IDS917737 IDR983147:IDS983151 IDR983269:IDS983273 INN107:INO111 INN229:INO233 INN65643:INO65647 INN65765:INO65769 INN131179:INO131183 INN131301:INO131305 INN196715:INO196719 INN196837:INO196841 INN262251:INO262255 INN262373:INO262377 INN327787:INO327791 INN327909:INO327913 INN393323:INO393327 INN393445:INO393449 INN458859:INO458863 INN458981:INO458985 INN524395:INO524399 INN524517:INO524521 INN589931:INO589935 INN590053:INO590057 INN655467:INO655471 INN655589:INO655593 INN721003:INO721007 INN721125:INO721129 INN786539:INO786543 INN786661:INO786665 INN852075:INO852079 INN852197:INO852201 INN917611:INO917615 INN917733:INO917737 INN983147:INO983151 INN983269:INO983273 IXJ107:IXK111 IXJ229:IXK233 IXJ65643:IXK65647 IXJ65765:IXK65769 IXJ131179:IXK131183 IXJ131301:IXK131305 IXJ196715:IXK196719 IXJ196837:IXK196841 IXJ262251:IXK262255 IXJ262373:IXK262377 IXJ327787:IXK327791 IXJ327909:IXK327913 IXJ393323:IXK393327 IXJ393445:IXK393449 IXJ458859:IXK458863 IXJ458981:IXK458985 IXJ524395:IXK524399 IXJ524517:IXK524521 IXJ589931:IXK589935 IXJ590053:IXK590057 IXJ655467:IXK655471 IXJ655589:IXK655593 IXJ721003:IXK721007 IXJ721125:IXK721129 IXJ786539:IXK786543 IXJ786661:IXK786665 IXJ852075:IXK852079 IXJ852197:IXK852201 IXJ917611:IXK917615 IXJ917733:IXK917737 IXJ983147:IXK983151 IXJ983269:IXK983273 JHF107:JHG111 JHF229:JHG233 JHF65643:JHG65647 JHF65765:JHG65769 JHF131179:JHG131183 JHF131301:JHG131305 JHF196715:JHG196719 JHF196837:JHG196841 JHF262251:JHG262255 JHF262373:JHG262377 JHF327787:JHG327791 JHF327909:JHG327913 JHF393323:JHG393327 JHF393445:JHG393449 JHF458859:JHG458863 JHF458981:JHG458985 JHF524395:JHG524399 JHF524517:JHG524521 JHF589931:JHG589935 JHF590053:JHG590057 JHF655467:JHG655471 JHF655589:JHG655593 JHF721003:JHG721007 JHF721125:JHG721129 JHF786539:JHG786543 JHF786661:JHG786665 JHF852075:JHG852079 JHF852197:JHG852201 JHF917611:JHG917615 JHF917733:JHG917737 JHF983147:JHG983151 JHF983269:JHG983273 JRB107:JRC111 JRB229:JRC233 JRB65643:JRC65647 JRB65765:JRC65769 JRB131179:JRC131183 JRB131301:JRC131305 JRB196715:JRC196719 JRB196837:JRC196841 JRB262251:JRC262255 JRB262373:JRC262377 JRB327787:JRC327791 JRB327909:JRC327913 JRB393323:JRC393327 JRB393445:JRC393449 JRB458859:JRC458863 JRB458981:JRC458985 JRB524395:JRC524399 JRB524517:JRC524521 JRB589931:JRC589935 JRB590053:JRC590057 JRB655467:JRC655471 JRB655589:JRC655593 JRB721003:JRC721007 JRB721125:JRC721129 JRB786539:JRC786543 JRB786661:JRC786665 JRB852075:JRC852079 JRB852197:JRC852201 JRB917611:JRC917615 JRB917733:JRC917737 JRB983147:JRC983151 JRB983269:JRC983273 KAX107:KAY111 KAX229:KAY233 KAX65643:KAY65647 KAX65765:KAY65769 KAX131179:KAY131183 KAX131301:KAY131305 KAX196715:KAY196719 KAX196837:KAY196841 KAX262251:KAY262255 KAX262373:KAY262377 KAX327787:KAY327791 KAX327909:KAY327913 KAX393323:KAY393327 KAX393445:KAY393449 KAX458859:KAY458863 KAX458981:KAY458985 KAX524395:KAY524399 KAX524517:KAY524521 KAX589931:KAY589935 KAX590053:KAY590057 KAX655467:KAY655471 KAX655589:KAY655593 KAX721003:KAY721007 KAX721125:KAY721129 KAX786539:KAY786543 KAX786661:KAY786665 KAX852075:KAY852079 KAX852197:KAY852201 KAX917611:KAY917615 KAX917733:KAY917737 KAX983147:KAY983151 KAX983269:KAY983273 KKT107:KKU111 KKT229:KKU233 KKT65643:KKU65647 KKT65765:KKU65769 KKT131179:KKU131183 KKT131301:KKU131305 KKT196715:KKU196719 KKT196837:KKU196841 KKT262251:KKU262255 KKT262373:KKU262377 KKT327787:KKU327791 KKT327909:KKU327913 KKT393323:KKU393327 KKT393445:KKU393449 KKT458859:KKU458863 KKT458981:KKU458985 KKT524395:KKU524399 KKT524517:KKU524521 KKT589931:KKU589935 KKT590053:KKU590057 KKT655467:KKU655471 KKT655589:KKU655593 KKT721003:KKU721007 KKT721125:KKU721129 KKT786539:KKU786543 KKT786661:KKU786665 KKT852075:KKU852079 KKT852197:KKU852201 KKT917611:KKU917615 KKT917733:KKU917737 KKT983147:KKU983151 KKT983269:KKU983273 KUP107:KUQ111 KUP229:KUQ233 KUP65643:KUQ65647 KUP65765:KUQ65769 KUP131179:KUQ131183 KUP131301:KUQ131305 KUP196715:KUQ196719 KUP196837:KUQ196841 KUP262251:KUQ262255 KUP262373:KUQ262377 KUP327787:KUQ327791 KUP327909:KUQ327913 KUP393323:KUQ393327 KUP393445:KUQ393449 KUP458859:KUQ458863 KUP458981:KUQ458985 KUP524395:KUQ524399 KUP524517:KUQ524521 KUP589931:KUQ589935 KUP590053:KUQ590057 KUP655467:KUQ655471 KUP655589:KUQ655593 KUP721003:KUQ721007 KUP721125:KUQ721129 KUP786539:KUQ786543 KUP786661:KUQ786665 KUP852075:KUQ852079 KUP852197:KUQ852201 KUP917611:KUQ917615 KUP917733:KUQ917737 KUP983147:KUQ983151 KUP983269:KUQ983273 LEL107:LEM111 LEL229:LEM233 LEL65643:LEM65647 LEL65765:LEM65769 LEL131179:LEM131183 LEL131301:LEM131305 LEL196715:LEM196719 LEL196837:LEM196841 LEL262251:LEM262255 LEL262373:LEM262377 LEL327787:LEM327791 LEL327909:LEM327913 LEL393323:LEM393327 LEL393445:LEM393449 LEL458859:LEM458863 LEL458981:LEM458985 LEL524395:LEM524399 LEL524517:LEM524521 LEL589931:LEM589935 LEL590053:LEM590057 LEL655467:LEM655471 LEL655589:LEM655593 LEL721003:LEM721007 LEL721125:LEM721129 LEL786539:LEM786543 LEL786661:LEM786665 LEL852075:LEM852079 LEL852197:LEM852201 LEL917611:LEM917615 LEL917733:LEM917737 LEL983147:LEM983151 LEL983269:LEM983273 LOH107:LOI111 LOH229:LOI233 LOH65643:LOI65647 LOH65765:LOI65769 LOH131179:LOI131183 LOH131301:LOI131305 LOH196715:LOI196719 LOH196837:LOI196841 LOH262251:LOI262255 LOH262373:LOI262377 LOH327787:LOI327791 LOH327909:LOI327913 LOH393323:LOI393327 LOH393445:LOI393449 LOH458859:LOI458863 LOH458981:LOI458985 LOH524395:LOI524399 LOH524517:LOI524521 LOH589931:LOI589935 LOH590053:LOI590057 LOH655467:LOI655471 LOH655589:LOI655593 LOH721003:LOI721007 LOH721125:LOI721129 LOH786539:LOI786543 LOH786661:LOI786665 LOH852075:LOI852079 LOH852197:LOI852201 LOH917611:LOI917615 LOH917733:LOI917737 LOH983147:LOI983151 LOH983269:LOI983273 LYD107:LYE111 LYD229:LYE233 LYD65643:LYE65647 LYD65765:LYE65769 LYD131179:LYE131183 LYD131301:LYE131305 LYD196715:LYE196719 LYD196837:LYE196841 LYD262251:LYE262255 LYD262373:LYE262377 LYD327787:LYE327791 LYD327909:LYE327913 LYD393323:LYE393327 LYD393445:LYE393449 LYD458859:LYE458863 LYD458981:LYE458985 LYD524395:LYE524399 LYD524517:LYE524521 LYD589931:LYE589935 LYD590053:LYE590057 LYD655467:LYE655471 LYD655589:LYE655593 LYD721003:LYE721007 LYD721125:LYE721129 LYD786539:LYE786543 LYD786661:LYE786665 LYD852075:LYE852079 LYD852197:LYE852201 LYD917611:LYE917615 LYD917733:LYE917737 LYD983147:LYE983151 LYD983269:LYE983273 MHZ107:MIA111 MHZ229:MIA233 MHZ65643:MIA65647 MHZ65765:MIA65769 MHZ131179:MIA131183 MHZ131301:MIA131305 MHZ196715:MIA196719 MHZ196837:MIA196841 MHZ262251:MIA262255 MHZ262373:MIA262377 MHZ327787:MIA327791 MHZ327909:MIA327913 MHZ393323:MIA393327 MHZ393445:MIA393449 MHZ458859:MIA458863 MHZ458981:MIA458985 MHZ524395:MIA524399 MHZ524517:MIA524521 MHZ589931:MIA589935 MHZ590053:MIA590057 MHZ655467:MIA655471 MHZ655589:MIA655593 MHZ721003:MIA721007 MHZ721125:MIA721129 MHZ786539:MIA786543 MHZ786661:MIA786665 MHZ852075:MIA852079 MHZ852197:MIA852201 MHZ917611:MIA917615 MHZ917733:MIA917737 MHZ983147:MIA983151 MHZ983269:MIA983273 MRV107:MRW111 MRV229:MRW233 MRV65643:MRW65647 MRV65765:MRW65769 MRV131179:MRW131183 MRV131301:MRW131305 MRV196715:MRW196719 MRV196837:MRW196841 MRV262251:MRW262255 MRV262373:MRW262377 MRV327787:MRW327791 MRV327909:MRW327913 MRV393323:MRW393327 MRV393445:MRW393449 MRV458859:MRW458863 MRV458981:MRW458985 MRV524395:MRW524399 MRV524517:MRW524521 MRV589931:MRW589935 MRV590053:MRW590057 MRV655467:MRW655471 MRV655589:MRW655593 MRV721003:MRW721007 MRV721125:MRW721129 MRV786539:MRW786543 MRV786661:MRW786665 MRV852075:MRW852079 MRV852197:MRW852201 MRV917611:MRW917615 MRV917733:MRW917737 MRV983147:MRW983151 MRV983269:MRW983273 NBR107:NBS111 NBR229:NBS233 NBR65643:NBS65647 NBR65765:NBS65769 NBR131179:NBS131183 NBR131301:NBS131305 NBR196715:NBS196719 NBR196837:NBS196841 NBR262251:NBS262255 NBR262373:NBS262377 NBR327787:NBS327791 NBR327909:NBS327913 NBR393323:NBS393327 NBR393445:NBS393449 NBR458859:NBS458863 NBR458981:NBS458985 NBR524395:NBS524399 NBR524517:NBS524521 NBR589931:NBS589935 NBR590053:NBS590057 NBR655467:NBS655471 NBR655589:NBS655593 NBR721003:NBS721007 NBR721125:NBS721129 NBR786539:NBS786543 NBR786661:NBS786665 NBR852075:NBS852079 NBR852197:NBS852201 NBR917611:NBS917615 NBR917733:NBS917737 NBR983147:NBS983151 NBR983269:NBS983273 NLN107:NLO111 NLN229:NLO233 NLN65643:NLO65647 NLN65765:NLO65769 NLN131179:NLO131183 NLN131301:NLO131305 NLN196715:NLO196719 NLN196837:NLO196841 NLN262251:NLO262255 NLN262373:NLO262377 NLN327787:NLO327791 NLN327909:NLO327913 NLN393323:NLO393327 NLN393445:NLO393449 NLN458859:NLO458863 NLN458981:NLO458985 NLN524395:NLO524399 NLN524517:NLO524521 NLN589931:NLO589935 NLN590053:NLO590057 NLN655467:NLO655471 NLN655589:NLO655593 NLN721003:NLO721007 NLN721125:NLO721129 NLN786539:NLO786543 NLN786661:NLO786665 NLN852075:NLO852079 NLN852197:NLO852201 NLN917611:NLO917615 NLN917733:NLO917737 NLN983147:NLO983151 NLN983269:NLO983273 NVJ107:NVK111 NVJ229:NVK233 NVJ65643:NVK65647 NVJ65765:NVK65769 NVJ131179:NVK131183 NVJ131301:NVK131305 NVJ196715:NVK196719 NVJ196837:NVK196841 NVJ262251:NVK262255 NVJ262373:NVK262377 NVJ327787:NVK327791 NVJ327909:NVK327913 NVJ393323:NVK393327 NVJ393445:NVK393449 NVJ458859:NVK458863 NVJ458981:NVK458985 NVJ524395:NVK524399 NVJ524517:NVK524521 NVJ589931:NVK589935 NVJ590053:NVK590057 NVJ655467:NVK655471 NVJ655589:NVK655593 NVJ721003:NVK721007 NVJ721125:NVK721129 NVJ786539:NVK786543 NVJ786661:NVK786665 NVJ852075:NVK852079 NVJ852197:NVK852201 NVJ917611:NVK917615 NVJ917733:NVK917737 NVJ983147:NVK983151 NVJ983269:NVK983273 OFF107:OFG111 OFF229:OFG233 OFF65643:OFG65647 OFF65765:OFG65769 OFF131179:OFG131183 OFF131301:OFG131305 OFF196715:OFG196719 OFF196837:OFG196841 OFF262251:OFG262255 OFF262373:OFG262377 OFF327787:OFG327791 OFF327909:OFG327913 OFF393323:OFG393327 OFF393445:OFG393449 OFF458859:OFG458863 OFF458981:OFG458985 OFF524395:OFG524399 OFF524517:OFG524521 OFF589931:OFG589935 OFF590053:OFG590057 OFF655467:OFG655471 OFF655589:OFG655593 OFF721003:OFG721007 OFF721125:OFG721129 OFF786539:OFG786543 OFF786661:OFG786665 OFF852075:OFG852079 OFF852197:OFG852201 OFF917611:OFG917615 OFF917733:OFG917737 OFF983147:OFG983151 OFF983269:OFG983273 OPB107:OPC111 OPB229:OPC233 OPB65643:OPC65647 OPB65765:OPC65769 OPB131179:OPC131183 OPB131301:OPC131305 OPB196715:OPC196719 OPB196837:OPC196841 OPB262251:OPC262255 OPB262373:OPC262377 OPB327787:OPC327791 OPB327909:OPC327913 OPB393323:OPC393327 OPB393445:OPC393449 OPB458859:OPC458863 OPB458981:OPC458985 OPB524395:OPC524399 OPB524517:OPC524521 OPB589931:OPC589935 OPB590053:OPC590057 OPB655467:OPC655471 OPB655589:OPC655593 OPB721003:OPC721007 OPB721125:OPC721129 OPB786539:OPC786543 OPB786661:OPC786665 OPB852075:OPC852079 OPB852197:OPC852201 OPB917611:OPC917615 OPB917733:OPC917737 OPB983147:OPC983151 OPB983269:OPC983273 OYX107:OYY111 OYX229:OYY233 OYX65643:OYY65647 OYX65765:OYY65769 OYX131179:OYY131183 OYX131301:OYY131305 OYX196715:OYY196719 OYX196837:OYY196841 OYX262251:OYY262255 OYX262373:OYY262377 OYX327787:OYY327791 OYX327909:OYY327913 OYX393323:OYY393327 OYX393445:OYY393449 OYX458859:OYY458863 OYX458981:OYY458985 OYX524395:OYY524399 OYX524517:OYY524521 OYX589931:OYY589935 OYX590053:OYY590057 OYX655467:OYY655471 OYX655589:OYY655593 OYX721003:OYY721007 OYX721125:OYY721129 OYX786539:OYY786543 OYX786661:OYY786665 OYX852075:OYY852079 OYX852197:OYY852201 OYX917611:OYY917615 OYX917733:OYY917737 OYX983147:OYY983151 OYX983269:OYY983273 PIT107:PIU111 PIT229:PIU233 PIT65643:PIU65647 PIT65765:PIU65769 PIT131179:PIU131183 PIT131301:PIU131305 PIT196715:PIU196719 PIT196837:PIU196841 PIT262251:PIU262255 PIT262373:PIU262377 PIT327787:PIU327791 PIT327909:PIU327913 PIT393323:PIU393327 PIT393445:PIU393449 PIT458859:PIU458863 PIT458981:PIU458985 PIT524395:PIU524399 PIT524517:PIU524521 PIT589931:PIU589935 PIT590053:PIU590057 PIT655467:PIU655471 PIT655589:PIU655593 PIT721003:PIU721007 PIT721125:PIU721129 PIT786539:PIU786543 PIT786661:PIU786665 PIT852075:PIU852079 PIT852197:PIU852201 PIT917611:PIU917615 PIT917733:PIU917737 PIT983147:PIU983151 PIT983269:PIU983273 PSP107:PSQ111 PSP229:PSQ233 PSP65643:PSQ65647 PSP65765:PSQ65769 PSP131179:PSQ131183 PSP131301:PSQ131305 PSP196715:PSQ196719 PSP196837:PSQ196841 PSP262251:PSQ262255 PSP262373:PSQ262377 PSP327787:PSQ327791 PSP327909:PSQ327913 PSP393323:PSQ393327 PSP393445:PSQ393449 PSP458859:PSQ458863 PSP458981:PSQ458985 PSP524395:PSQ524399 PSP524517:PSQ524521 PSP589931:PSQ589935 PSP590053:PSQ590057 PSP655467:PSQ655471 PSP655589:PSQ655593 PSP721003:PSQ721007 PSP721125:PSQ721129 PSP786539:PSQ786543 PSP786661:PSQ786665 PSP852075:PSQ852079 PSP852197:PSQ852201 PSP917611:PSQ917615 PSP917733:PSQ917737 PSP983147:PSQ983151 PSP983269:PSQ983273 QCL107:QCM111 QCL229:QCM233 QCL65643:QCM65647 QCL65765:QCM65769 QCL131179:QCM131183 QCL131301:QCM131305 QCL196715:QCM196719 QCL196837:QCM196841 QCL262251:QCM262255 QCL262373:QCM262377 QCL327787:QCM327791 QCL327909:QCM327913 QCL393323:QCM393327 QCL393445:QCM393449 QCL458859:QCM458863 QCL458981:QCM458985 QCL524395:QCM524399 QCL524517:QCM524521 QCL589931:QCM589935 QCL590053:QCM590057 QCL655467:QCM655471 QCL655589:QCM655593 QCL721003:QCM721007 QCL721125:QCM721129 QCL786539:QCM786543 QCL786661:QCM786665 QCL852075:QCM852079 QCL852197:QCM852201 QCL917611:QCM917615 QCL917733:QCM917737 QCL983147:QCM983151 QCL983269:QCM983273 QMH107:QMI111 QMH229:QMI233 QMH65643:QMI65647 QMH65765:QMI65769 QMH131179:QMI131183 QMH131301:QMI131305 QMH196715:QMI196719 QMH196837:QMI196841 QMH262251:QMI262255 QMH262373:QMI262377 QMH327787:QMI327791 QMH327909:QMI327913 QMH393323:QMI393327 QMH393445:QMI393449 QMH458859:QMI458863 QMH458981:QMI458985 QMH524395:QMI524399 QMH524517:QMI524521 QMH589931:QMI589935 QMH590053:QMI590057 QMH655467:QMI655471 QMH655589:QMI655593 QMH721003:QMI721007 QMH721125:QMI721129 QMH786539:QMI786543 QMH786661:QMI786665 QMH852075:QMI852079 QMH852197:QMI852201 QMH917611:QMI917615 QMH917733:QMI917737 QMH983147:QMI983151 QMH983269:QMI983273 QWD107:QWE111 QWD229:QWE233 QWD65643:QWE65647 QWD65765:QWE65769 QWD131179:QWE131183 QWD131301:QWE131305 QWD196715:QWE196719 QWD196837:QWE196841 QWD262251:QWE262255 QWD262373:QWE262377 QWD327787:QWE327791 QWD327909:QWE327913 QWD393323:QWE393327 QWD393445:QWE393449 QWD458859:QWE458863 QWD458981:QWE458985 QWD524395:QWE524399 QWD524517:QWE524521 QWD589931:QWE589935 QWD590053:QWE590057 QWD655467:QWE655471 QWD655589:QWE655593 QWD721003:QWE721007 QWD721125:QWE721129 QWD786539:QWE786543 QWD786661:QWE786665 QWD852075:QWE852079 QWD852197:QWE852201 QWD917611:QWE917615 QWD917733:QWE917737 QWD983147:QWE983151 QWD983269:QWE983273 RFZ107:RGA111 RFZ229:RGA233 RFZ65643:RGA65647 RFZ65765:RGA65769 RFZ131179:RGA131183 RFZ131301:RGA131305 RFZ196715:RGA196719 RFZ196837:RGA196841 RFZ262251:RGA262255 RFZ262373:RGA262377 RFZ327787:RGA327791 RFZ327909:RGA327913 RFZ393323:RGA393327 RFZ393445:RGA393449 RFZ458859:RGA458863 RFZ458981:RGA458985 RFZ524395:RGA524399 RFZ524517:RGA524521 RFZ589931:RGA589935 RFZ590053:RGA590057 RFZ655467:RGA655471 RFZ655589:RGA655593 RFZ721003:RGA721007 RFZ721125:RGA721129 RFZ786539:RGA786543 RFZ786661:RGA786665 RFZ852075:RGA852079 RFZ852197:RGA852201 RFZ917611:RGA917615 RFZ917733:RGA917737 RFZ983147:RGA983151 RFZ983269:RGA983273 RPV107:RPW111 RPV229:RPW233 RPV65643:RPW65647 RPV65765:RPW65769 RPV131179:RPW131183 RPV131301:RPW131305 RPV196715:RPW196719 RPV196837:RPW196841 RPV262251:RPW262255 RPV262373:RPW262377 RPV327787:RPW327791 RPV327909:RPW327913 RPV393323:RPW393327 RPV393445:RPW393449 RPV458859:RPW458863 RPV458981:RPW458985 RPV524395:RPW524399 RPV524517:RPW524521 RPV589931:RPW589935 RPV590053:RPW590057 RPV655467:RPW655471 RPV655589:RPW655593 RPV721003:RPW721007 RPV721125:RPW721129 RPV786539:RPW786543 RPV786661:RPW786665 RPV852075:RPW852079 RPV852197:RPW852201 RPV917611:RPW917615 RPV917733:RPW917737 RPV983147:RPW983151 RPV983269:RPW983273 RZR107:RZS111 RZR229:RZS233 RZR65643:RZS65647 RZR65765:RZS65769 RZR131179:RZS131183 RZR131301:RZS131305 RZR196715:RZS196719 RZR196837:RZS196841 RZR262251:RZS262255 RZR262373:RZS262377 RZR327787:RZS327791 RZR327909:RZS327913 RZR393323:RZS393327 RZR393445:RZS393449 RZR458859:RZS458863 RZR458981:RZS458985 RZR524395:RZS524399 RZR524517:RZS524521 RZR589931:RZS589935 RZR590053:RZS590057 RZR655467:RZS655471 RZR655589:RZS655593 RZR721003:RZS721007 RZR721125:RZS721129 RZR786539:RZS786543 RZR786661:RZS786665 RZR852075:RZS852079 RZR852197:RZS852201 RZR917611:RZS917615 RZR917733:RZS917737 RZR983147:RZS983151 RZR983269:RZS983273 SJN107:SJO111 SJN229:SJO233 SJN65643:SJO65647 SJN65765:SJO65769 SJN131179:SJO131183 SJN131301:SJO131305 SJN196715:SJO196719 SJN196837:SJO196841 SJN262251:SJO262255 SJN262373:SJO262377 SJN327787:SJO327791 SJN327909:SJO327913 SJN393323:SJO393327 SJN393445:SJO393449 SJN458859:SJO458863 SJN458981:SJO458985 SJN524395:SJO524399 SJN524517:SJO524521 SJN589931:SJO589935 SJN590053:SJO590057 SJN655467:SJO655471 SJN655589:SJO655593 SJN721003:SJO721007 SJN721125:SJO721129 SJN786539:SJO786543 SJN786661:SJO786665 SJN852075:SJO852079 SJN852197:SJO852201 SJN917611:SJO917615 SJN917733:SJO917737 SJN983147:SJO983151 SJN983269:SJO983273 STJ107:STK111 STJ229:STK233 STJ65643:STK65647 STJ65765:STK65769 STJ131179:STK131183 STJ131301:STK131305 STJ196715:STK196719 STJ196837:STK196841 STJ262251:STK262255 STJ262373:STK262377 STJ327787:STK327791 STJ327909:STK327913 STJ393323:STK393327 STJ393445:STK393449 STJ458859:STK458863 STJ458981:STK458985 STJ524395:STK524399 STJ524517:STK524521 STJ589931:STK589935 STJ590053:STK590057 STJ655467:STK655471 STJ655589:STK655593 STJ721003:STK721007 STJ721125:STK721129 STJ786539:STK786543 STJ786661:STK786665 STJ852075:STK852079 STJ852197:STK852201 STJ917611:STK917615 STJ917733:STK917737 STJ983147:STK983151 STJ983269:STK983273 TDF107:TDG111 TDF229:TDG233 TDF65643:TDG65647 TDF65765:TDG65769 TDF131179:TDG131183 TDF131301:TDG131305 TDF196715:TDG196719 TDF196837:TDG196841 TDF262251:TDG262255 TDF262373:TDG262377 TDF327787:TDG327791 TDF327909:TDG327913 TDF393323:TDG393327 TDF393445:TDG393449 TDF458859:TDG458863 TDF458981:TDG458985 TDF524395:TDG524399 TDF524517:TDG524521 TDF589931:TDG589935 TDF590053:TDG590057 TDF655467:TDG655471 TDF655589:TDG655593 TDF721003:TDG721007 TDF721125:TDG721129 TDF786539:TDG786543 TDF786661:TDG786665 TDF852075:TDG852079 TDF852197:TDG852201 TDF917611:TDG917615 TDF917733:TDG917737 TDF983147:TDG983151 TDF983269:TDG983273 TNB107:TNC111 TNB229:TNC233 TNB65643:TNC65647 TNB65765:TNC65769 TNB131179:TNC131183 TNB131301:TNC131305 TNB196715:TNC196719 TNB196837:TNC196841 TNB262251:TNC262255 TNB262373:TNC262377 TNB327787:TNC327791 TNB327909:TNC327913 TNB393323:TNC393327 TNB393445:TNC393449 TNB458859:TNC458863 TNB458981:TNC458985 TNB524395:TNC524399 TNB524517:TNC524521 TNB589931:TNC589935 TNB590053:TNC590057 TNB655467:TNC655471 TNB655589:TNC655593 TNB721003:TNC721007 TNB721125:TNC721129 TNB786539:TNC786543 TNB786661:TNC786665 TNB852075:TNC852079 TNB852197:TNC852201 TNB917611:TNC917615 TNB917733:TNC917737 TNB983147:TNC983151 TNB983269:TNC983273 TWX107:TWY111 TWX229:TWY233 TWX65643:TWY65647 TWX65765:TWY65769 TWX131179:TWY131183 TWX131301:TWY131305 TWX196715:TWY196719 TWX196837:TWY196841 TWX262251:TWY262255 TWX262373:TWY262377 TWX327787:TWY327791 TWX327909:TWY327913 TWX393323:TWY393327 TWX393445:TWY393449 TWX458859:TWY458863 TWX458981:TWY458985 TWX524395:TWY524399 TWX524517:TWY524521 TWX589931:TWY589935 TWX590053:TWY590057 TWX655467:TWY655471 TWX655589:TWY655593 TWX721003:TWY721007 TWX721125:TWY721129 TWX786539:TWY786543 TWX786661:TWY786665 TWX852075:TWY852079 TWX852197:TWY852201 TWX917611:TWY917615 TWX917733:TWY917737 TWX983147:TWY983151 TWX983269:TWY983273 UGT107:UGU111 UGT229:UGU233 UGT65643:UGU65647 UGT65765:UGU65769 UGT131179:UGU131183 UGT131301:UGU131305 UGT196715:UGU196719 UGT196837:UGU196841 UGT262251:UGU262255 UGT262373:UGU262377 UGT327787:UGU327791 UGT327909:UGU327913 UGT393323:UGU393327 UGT393445:UGU393449 UGT458859:UGU458863 UGT458981:UGU458985 UGT524395:UGU524399 UGT524517:UGU524521 UGT589931:UGU589935 UGT590053:UGU590057 UGT655467:UGU655471 UGT655589:UGU655593 UGT721003:UGU721007 UGT721125:UGU721129 UGT786539:UGU786543 UGT786661:UGU786665 UGT852075:UGU852079 UGT852197:UGU852201 UGT917611:UGU917615 UGT917733:UGU917737 UGT983147:UGU983151 UGT983269:UGU983273 UQP107:UQQ111 UQP229:UQQ233 UQP65643:UQQ65647 UQP65765:UQQ65769 UQP131179:UQQ131183 UQP131301:UQQ131305 UQP196715:UQQ196719 UQP196837:UQQ196841 UQP262251:UQQ262255 UQP262373:UQQ262377 UQP327787:UQQ327791 UQP327909:UQQ327913 UQP393323:UQQ393327 UQP393445:UQQ393449 UQP458859:UQQ458863 UQP458981:UQQ458985 UQP524395:UQQ524399 UQP524517:UQQ524521 UQP589931:UQQ589935 UQP590053:UQQ590057 UQP655467:UQQ655471 UQP655589:UQQ655593 UQP721003:UQQ721007 UQP721125:UQQ721129 UQP786539:UQQ786543 UQP786661:UQQ786665 UQP852075:UQQ852079 UQP852197:UQQ852201 UQP917611:UQQ917615 UQP917733:UQQ917737 UQP983147:UQQ983151 UQP983269:UQQ983273 VAL107:VAM111 VAL229:VAM233 VAL65643:VAM65647 VAL65765:VAM65769 VAL131179:VAM131183 VAL131301:VAM131305 VAL196715:VAM196719 VAL196837:VAM196841 VAL262251:VAM262255 VAL262373:VAM262377 VAL327787:VAM327791 VAL327909:VAM327913 VAL393323:VAM393327 VAL393445:VAM393449 VAL458859:VAM458863 VAL458981:VAM458985 VAL524395:VAM524399 VAL524517:VAM524521 VAL589931:VAM589935 VAL590053:VAM590057 VAL655467:VAM655471 VAL655589:VAM655593 VAL721003:VAM721007 VAL721125:VAM721129 VAL786539:VAM786543 VAL786661:VAM786665 VAL852075:VAM852079 VAL852197:VAM852201 VAL917611:VAM917615 VAL917733:VAM917737 VAL983147:VAM983151 VAL983269:VAM983273 VKH107:VKI111 VKH229:VKI233 VKH65643:VKI65647 VKH65765:VKI65769 VKH131179:VKI131183 VKH131301:VKI131305 VKH196715:VKI196719 VKH196837:VKI196841 VKH262251:VKI262255 VKH262373:VKI262377 VKH327787:VKI327791 VKH327909:VKI327913 VKH393323:VKI393327 VKH393445:VKI393449 VKH458859:VKI458863 VKH458981:VKI458985 VKH524395:VKI524399 VKH524517:VKI524521 VKH589931:VKI589935 VKH590053:VKI590057 VKH655467:VKI655471 VKH655589:VKI655593 VKH721003:VKI721007 VKH721125:VKI721129 VKH786539:VKI786543 VKH786661:VKI786665 VKH852075:VKI852079 VKH852197:VKI852201 VKH917611:VKI917615 VKH917733:VKI917737 VKH983147:VKI983151 VKH983269:VKI983273 VUD107:VUE111 VUD229:VUE233 VUD65643:VUE65647 VUD65765:VUE65769 VUD131179:VUE131183 VUD131301:VUE131305 VUD196715:VUE196719 VUD196837:VUE196841 VUD262251:VUE262255 VUD262373:VUE262377 VUD327787:VUE327791 VUD327909:VUE327913 VUD393323:VUE393327 VUD393445:VUE393449 VUD458859:VUE458863 VUD458981:VUE458985 VUD524395:VUE524399 VUD524517:VUE524521 VUD589931:VUE589935 VUD590053:VUE590057 VUD655467:VUE655471 VUD655589:VUE655593 VUD721003:VUE721007 VUD721125:VUE721129 VUD786539:VUE786543 VUD786661:VUE786665 VUD852075:VUE852079 VUD852197:VUE852201 VUD917611:VUE917615 VUD917733:VUE917737 VUD983147:VUE983151 VUD983269:VUE983273 WDZ107:WEA111 WDZ229:WEA233 WDZ65643:WEA65647 WDZ65765:WEA65769 WDZ131179:WEA131183 WDZ131301:WEA131305 WDZ196715:WEA196719 WDZ196837:WEA196841 WDZ262251:WEA262255 WDZ262373:WEA262377 WDZ327787:WEA327791 WDZ327909:WEA327913 WDZ393323:WEA393327 WDZ393445:WEA393449 WDZ458859:WEA458863 WDZ458981:WEA458985 WDZ524395:WEA524399 WDZ524517:WEA524521 WDZ589931:WEA589935 WDZ590053:WEA590057 WDZ655467:WEA655471 WDZ655589:WEA655593 WDZ721003:WEA721007 WDZ721125:WEA721129 WDZ786539:WEA786543 WDZ786661:WEA786665 WDZ852075:WEA852079 WDZ852197:WEA852201 WDZ917611:WEA917615 WDZ917733:WEA917737 WDZ983147:WEA983151 WDZ983269:WEA983273 WNV107:WNW111 WNV229:WNW233 WNV65643:WNW65647 WNV65765:WNW65769 WNV131179:WNW131183 WNV131301:WNW131305 WNV196715:WNW196719 WNV196837:WNW196841 WNV262251:WNW262255 WNV262373:WNW262377 WNV327787:WNW327791 WNV327909:WNW327913 WNV393323:WNW393327 WNV393445:WNW393449 WNV458859:WNW458863 WNV458981:WNW458985 WNV524395:WNW524399 WNV524517:WNW524521 WNV589931:WNW589935 WNV590053:WNW590057 WNV655467:WNW655471 WNV655589:WNW655593 WNV721003:WNW721007 WNV721125:WNW721129 WNV786539:WNW786543 WNV786661:WNW786665 WNV852075:WNW852079 WNV852197:WNW852201 WNV917611:WNW917615 WNV917733:WNW917737 WNV983147:WNW983151 WNV983269:WNW983273 WXR107:WXS111 WXR229:WXS233 WXR65643:WXS65647 WXR65765:WXS65769 WXR131179:WXS131183 WXR131301:WXS131305 WXR196715:WXS196719 WXR196837:WXS196841 WXR262251:WXS262255 WXR262373:WXS262377 WXR327787:WXS327791 WXR327909:WXS327913 WXR393323:WXS393327 WXR393445:WXS393449 WXR458859:WXS458863 WXR458981:WXS458985 WXR524395:WXS524399 WXR524517:WXS524521 WXR589931:WXS589935 WXR590053:WXS590057 WXR655467:WXS655471 WXR655589:WXS655593 WXR721003:WXS721007 WXR721125:WXS721129 WXR786539:WXS786543 WXR786661:WXS786665 WXR852075:WXS852079 WXR852197:WXS852201 WXR917611:WXS917615 WXR917733:WXS917737 WXR983147:WXS983151 WXR983269:WXS983273">
      <formula1>"〇"</formula1>
    </dataValidation>
    <dataValidation type="list" allowBlank="1" showInputMessage="1" showErrorMessage="1" sqref="AQ37 AQ159:AS161 AQ65573:AS65575 AQ65695:AS65697 AQ131109:AS131111 AQ131231:AS131233 AQ196645:AS196647 AQ196767:AS196769 AQ262181:AS262183 AQ262303:AS262305 AQ327717:AS327719 AQ327839:AS327841 AQ393253:AS393255 AQ393375:AS393377 AQ458789:AS458791 AQ458911:AS458913 AQ524325:AS524327 AQ524447:AS524449 AQ589861:AS589863 AQ589983:AS589985 AQ655397:AS655399 AQ655519:AS655521 AQ720933:AS720935 AQ721055:AS721057 AQ786469:AS786471 AQ786591:AS786593 AQ852005:AS852007 AQ852127:AS852129 AQ917541:AS917543 AQ917663:AS917665 AQ983077:AS983079 AQ983199:AS983201 KM37:KO39 KM159:KO161 KM65573:KO65575 KM65695:KO65697 KM131109:KO131111 KM131231:KO131233 KM196645:KO196647 KM196767:KO196769 KM262181:KO262183 KM262303:KO262305 KM327717:KO327719 KM327839:KO327841 KM393253:KO393255 KM393375:KO393377 KM458789:KO458791 KM458911:KO458913 KM524325:KO524327 KM524447:KO524449 KM589861:KO589863 KM589983:KO589985 KM655397:KO655399 KM655519:KO655521 KM720933:KO720935 KM721055:KO721057 KM786469:KO786471 KM786591:KO786593 KM852005:KO852007 KM852127:KO852129 KM917541:KO917543 KM917663:KO917665 KM983077:KO983079 KM983199:KO983201 UI37:UK39 UI159:UK161 UI65573:UK65575 UI65695:UK65697 UI131109:UK131111 UI131231:UK131233 UI196645:UK196647 UI196767:UK196769 UI262181:UK262183 UI262303:UK262305 UI327717:UK327719 UI327839:UK327841 UI393253:UK393255 UI393375:UK393377 UI458789:UK458791 UI458911:UK458913 UI524325:UK524327 UI524447:UK524449 UI589861:UK589863 UI589983:UK589985 UI655397:UK655399 UI655519:UK655521 UI720933:UK720935 UI721055:UK721057 UI786469:UK786471 UI786591:UK786593 UI852005:UK852007 UI852127:UK852129 UI917541:UK917543 UI917663:UK917665 UI983077:UK983079 UI983199:UK983201 AEE37:AEG39 AEE159:AEG161 AEE65573:AEG65575 AEE65695:AEG65697 AEE131109:AEG131111 AEE131231:AEG131233 AEE196645:AEG196647 AEE196767:AEG196769 AEE262181:AEG262183 AEE262303:AEG262305 AEE327717:AEG327719 AEE327839:AEG327841 AEE393253:AEG393255 AEE393375:AEG393377 AEE458789:AEG458791 AEE458911:AEG458913 AEE524325:AEG524327 AEE524447:AEG524449 AEE589861:AEG589863 AEE589983:AEG589985 AEE655397:AEG655399 AEE655519:AEG655521 AEE720933:AEG720935 AEE721055:AEG721057 AEE786469:AEG786471 AEE786591:AEG786593 AEE852005:AEG852007 AEE852127:AEG852129 AEE917541:AEG917543 AEE917663:AEG917665 AEE983077:AEG983079 AEE983199:AEG983201 AOA37:AOC39 AOA159:AOC161 AOA65573:AOC65575 AOA65695:AOC65697 AOA131109:AOC131111 AOA131231:AOC131233 AOA196645:AOC196647 AOA196767:AOC196769 AOA262181:AOC262183 AOA262303:AOC262305 AOA327717:AOC327719 AOA327839:AOC327841 AOA393253:AOC393255 AOA393375:AOC393377 AOA458789:AOC458791 AOA458911:AOC458913 AOA524325:AOC524327 AOA524447:AOC524449 AOA589861:AOC589863 AOA589983:AOC589985 AOA655397:AOC655399 AOA655519:AOC655521 AOA720933:AOC720935 AOA721055:AOC721057 AOA786469:AOC786471 AOA786591:AOC786593 AOA852005:AOC852007 AOA852127:AOC852129 AOA917541:AOC917543 AOA917663:AOC917665 AOA983077:AOC983079 AOA983199:AOC983201 AXW37:AXY39 AXW159:AXY161 AXW65573:AXY65575 AXW65695:AXY65697 AXW131109:AXY131111 AXW131231:AXY131233 AXW196645:AXY196647 AXW196767:AXY196769 AXW262181:AXY262183 AXW262303:AXY262305 AXW327717:AXY327719 AXW327839:AXY327841 AXW393253:AXY393255 AXW393375:AXY393377 AXW458789:AXY458791 AXW458911:AXY458913 AXW524325:AXY524327 AXW524447:AXY524449 AXW589861:AXY589863 AXW589983:AXY589985 AXW655397:AXY655399 AXW655519:AXY655521 AXW720933:AXY720935 AXW721055:AXY721057 AXW786469:AXY786471 AXW786591:AXY786593 AXW852005:AXY852007 AXW852127:AXY852129 AXW917541:AXY917543 AXW917663:AXY917665 AXW983077:AXY983079 AXW983199:AXY983201 BHS37:BHU39 BHS159:BHU161 BHS65573:BHU65575 BHS65695:BHU65697 BHS131109:BHU131111 BHS131231:BHU131233 BHS196645:BHU196647 BHS196767:BHU196769 BHS262181:BHU262183 BHS262303:BHU262305 BHS327717:BHU327719 BHS327839:BHU327841 BHS393253:BHU393255 BHS393375:BHU393377 BHS458789:BHU458791 BHS458911:BHU458913 BHS524325:BHU524327 BHS524447:BHU524449 BHS589861:BHU589863 BHS589983:BHU589985 BHS655397:BHU655399 BHS655519:BHU655521 BHS720933:BHU720935 BHS721055:BHU721057 BHS786469:BHU786471 BHS786591:BHU786593 BHS852005:BHU852007 BHS852127:BHU852129 BHS917541:BHU917543 BHS917663:BHU917665 BHS983077:BHU983079 BHS983199:BHU983201 BRO37:BRQ39 BRO159:BRQ161 BRO65573:BRQ65575 BRO65695:BRQ65697 BRO131109:BRQ131111 BRO131231:BRQ131233 BRO196645:BRQ196647 BRO196767:BRQ196769 BRO262181:BRQ262183 BRO262303:BRQ262305 BRO327717:BRQ327719 BRO327839:BRQ327841 BRO393253:BRQ393255 BRO393375:BRQ393377 BRO458789:BRQ458791 BRO458911:BRQ458913 BRO524325:BRQ524327 BRO524447:BRQ524449 BRO589861:BRQ589863 BRO589983:BRQ589985 BRO655397:BRQ655399 BRO655519:BRQ655521 BRO720933:BRQ720935 BRO721055:BRQ721057 BRO786469:BRQ786471 BRO786591:BRQ786593 BRO852005:BRQ852007 BRO852127:BRQ852129 BRO917541:BRQ917543 BRO917663:BRQ917665 BRO983077:BRQ983079 BRO983199:BRQ983201 CBK37:CBM39 CBK159:CBM161 CBK65573:CBM65575 CBK65695:CBM65697 CBK131109:CBM131111 CBK131231:CBM131233 CBK196645:CBM196647 CBK196767:CBM196769 CBK262181:CBM262183 CBK262303:CBM262305 CBK327717:CBM327719 CBK327839:CBM327841 CBK393253:CBM393255 CBK393375:CBM393377 CBK458789:CBM458791 CBK458911:CBM458913 CBK524325:CBM524327 CBK524447:CBM524449 CBK589861:CBM589863 CBK589983:CBM589985 CBK655397:CBM655399 CBK655519:CBM655521 CBK720933:CBM720935 CBK721055:CBM721057 CBK786469:CBM786471 CBK786591:CBM786593 CBK852005:CBM852007 CBK852127:CBM852129 CBK917541:CBM917543 CBK917663:CBM917665 CBK983077:CBM983079 CBK983199:CBM983201 CLG37:CLI39 CLG159:CLI161 CLG65573:CLI65575 CLG65695:CLI65697 CLG131109:CLI131111 CLG131231:CLI131233 CLG196645:CLI196647 CLG196767:CLI196769 CLG262181:CLI262183 CLG262303:CLI262305 CLG327717:CLI327719 CLG327839:CLI327841 CLG393253:CLI393255 CLG393375:CLI393377 CLG458789:CLI458791 CLG458911:CLI458913 CLG524325:CLI524327 CLG524447:CLI524449 CLG589861:CLI589863 CLG589983:CLI589985 CLG655397:CLI655399 CLG655519:CLI655521 CLG720933:CLI720935 CLG721055:CLI721057 CLG786469:CLI786471 CLG786591:CLI786593 CLG852005:CLI852007 CLG852127:CLI852129 CLG917541:CLI917543 CLG917663:CLI917665 CLG983077:CLI983079 CLG983199:CLI983201 CVC37:CVE39 CVC159:CVE161 CVC65573:CVE65575 CVC65695:CVE65697 CVC131109:CVE131111 CVC131231:CVE131233 CVC196645:CVE196647 CVC196767:CVE196769 CVC262181:CVE262183 CVC262303:CVE262305 CVC327717:CVE327719 CVC327839:CVE327841 CVC393253:CVE393255 CVC393375:CVE393377 CVC458789:CVE458791 CVC458911:CVE458913 CVC524325:CVE524327 CVC524447:CVE524449 CVC589861:CVE589863 CVC589983:CVE589985 CVC655397:CVE655399 CVC655519:CVE655521 CVC720933:CVE720935 CVC721055:CVE721057 CVC786469:CVE786471 CVC786591:CVE786593 CVC852005:CVE852007 CVC852127:CVE852129 CVC917541:CVE917543 CVC917663:CVE917665 CVC983077:CVE983079 CVC983199:CVE983201 DEY37:DFA39 DEY159:DFA161 DEY65573:DFA65575 DEY65695:DFA65697 DEY131109:DFA131111 DEY131231:DFA131233 DEY196645:DFA196647 DEY196767:DFA196769 DEY262181:DFA262183 DEY262303:DFA262305 DEY327717:DFA327719 DEY327839:DFA327841 DEY393253:DFA393255 DEY393375:DFA393377 DEY458789:DFA458791 DEY458911:DFA458913 DEY524325:DFA524327 DEY524447:DFA524449 DEY589861:DFA589863 DEY589983:DFA589985 DEY655397:DFA655399 DEY655519:DFA655521 DEY720933:DFA720935 DEY721055:DFA721057 DEY786469:DFA786471 DEY786591:DFA786593 DEY852005:DFA852007 DEY852127:DFA852129 DEY917541:DFA917543 DEY917663:DFA917665 DEY983077:DFA983079 DEY983199:DFA983201 DOU37:DOW39 DOU159:DOW161 DOU65573:DOW65575 DOU65695:DOW65697 DOU131109:DOW131111 DOU131231:DOW131233 DOU196645:DOW196647 DOU196767:DOW196769 DOU262181:DOW262183 DOU262303:DOW262305 DOU327717:DOW327719 DOU327839:DOW327841 DOU393253:DOW393255 DOU393375:DOW393377 DOU458789:DOW458791 DOU458911:DOW458913 DOU524325:DOW524327 DOU524447:DOW524449 DOU589861:DOW589863 DOU589983:DOW589985 DOU655397:DOW655399 DOU655519:DOW655521 DOU720933:DOW720935 DOU721055:DOW721057 DOU786469:DOW786471 DOU786591:DOW786593 DOU852005:DOW852007 DOU852127:DOW852129 DOU917541:DOW917543 DOU917663:DOW917665 DOU983077:DOW983079 DOU983199:DOW983201 DYQ37:DYS39 DYQ159:DYS161 DYQ65573:DYS65575 DYQ65695:DYS65697 DYQ131109:DYS131111 DYQ131231:DYS131233 DYQ196645:DYS196647 DYQ196767:DYS196769 DYQ262181:DYS262183 DYQ262303:DYS262305 DYQ327717:DYS327719 DYQ327839:DYS327841 DYQ393253:DYS393255 DYQ393375:DYS393377 DYQ458789:DYS458791 DYQ458911:DYS458913 DYQ524325:DYS524327 DYQ524447:DYS524449 DYQ589861:DYS589863 DYQ589983:DYS589985 DYQ655397:DYS655399 DYQ655519:DYS655521 DYQ720933:DYS720935 DYQ721055:DYS721057 DYQ786469:DYS786471 DYQ786591:DYS786593 DYQ852005:DYS852007 DYQ852127:DYS852129 DYQ917541:DYS917543 DYQ917663:DYS917665 DYQ983077:DYS983079 DYQ983199:DYS983201 EIM37:EIO39 EIM159:EIO161 EIM65573:EIO65575 EIM65695:EIO65697 EIM131109:EIO131111 EIM131231:EIO131233 EIM196645:EIO196647 EIM196767:EIO196769 EIM262181:EIO262183 EIM262303:EIO262305 EIM327717:EIO327719 EIM327839:EIO327841 EIM393253:EIO393255 EIM393375:EIO393377 EIM458789:EIO458791 EIM458911:EIO458913 EIM524325:EIO524327 EIM524447:EIO524449 EIM589861:EIO589863 EIM589983:EIO589985 EIM655397:EIO655399 EIM655519:EIO655521 EIM720933:EIO720935 EIM721055:EIO721057 EIM786469:EIO786471 EIM786591:EIO786593 EIM852005:EIO852007 EIM852127:EIO852129 EIM917541:EIO917543 EIM917663:EIO917665 EIM983077:EIO983079 EIM983199:EIO983201 ESI37:ESK39 ESI159:ESK161 ESI65573:ESK65575 ESI65695:ESK65697 ESI131109:ESK131111 ESI131231:ESK131233 ESI196645:ESK196647 ESI196767:ESK196769 ESI262181:ESK262183 ESI262303:ESK262305 ESI327717:ESK327719 ESI327839:ESK327841 ESI393253:ESK393255 ESI393375:ESK393377 ESI458789:ESK458791 ESI458911:ESK458913 ESI524325:ESK524327 ESI524447:ESK524449 ESI589861:ESK589863 ESI589983:ESK589985 ESI655397:ESK655399 ESI655519:ESK655521 ESI720933:ESK720935 ESI721055:ESK721057 ESI786469:ESK786471 ESI786591:ESK786593 ESI852005:ESK852007 ESI852127:ESK852129 ESI917541:ESK917543 ESI917663:ESK917665 ESI983077:ESK983079 ESI983199:ESK983201 FCE37:FCG39 FCE159:FCG161 FCE65573:FCG65575 FCE65695:FCG65697 FCE131109:FCG131111 FCE131231:FCG131233 FCE196645:FCG196647 FCE196767:FCG196769 FCE262181:FCG262183 FCE262303:FCG262305 FCE327717:FCG327719 FCE327839:FCG327841 FCE393253:FCG393255 FCE393375:FCG393377 FCE458789:FCG458791 FCE458911:FCG458913 FCE524325:FCG524327 FCE524447:FCG524449 FCE589861:FCG589863 FCE589983:FCG589985 FCE655397:FCG655399 FCE655519:FCG655521 FCE720933:FCG720935 FCE721055:FCG721057 FCE786469:FCG786471 FCE786591:FCG786593 FCE852005:FCG852007 FCE852127:FCG852129 FCE917541:FCG917543 FCE917663:FCG917665 FCE983077:FCG983079 FCE983199:FCG983201 FMA37:FMC39 FMA159:FMC161 FMA65573:FMC65575 FMA65695:FMC65697 FMA131109:FMC131111 FMA131231:FMC131233 FMA196645:FMC196647 FMA196767:FMC196769 FMA262181:FMC262183 FMA262303:FMC262305 FMA327717:FMC327719 FMA327839:FMC327841 FMA393253:FMC393255 FMA393375:FMC393377 FMA458789:FMC458791 FMA458911:FMC458913 FMA524325:FMC524327 FMA524447:FMC524449 FMA589861:FMC589863 FMA589983:FMC589985 FMA655397:FMC655399 FMA655519:FMC655521 FMA720933:FMC720935 FMA721055:FMC721057 FMA786469:FMC786471 FMA786591:FMC786593 FMA852005:FMC852007 FMA852127:FMC852129 FMA917541:FMC917543 FMA917663:FMC917665 FMA983077:FMC983079 FMA983199:FMC983201 FVW37:FVY39 FVW159:FVY161 FVW65573:FVY65575 FVW65695:FVY65697 FVW131109:FVY131111 FVW131231:FVY131233 FVW196645:FVY196647 FVW196767:FVY196769 FVW262181:FVY262183 FVW262303:FVY262305 FVW327717:FVY327719 FVW327839:FVY327841 FVW393253:FVY393255 FVW393375:FVY393377 FVW458789:FVY458791 FVW458911:FVY458913 FVW524325:FVY524327 FVW524447:FVY524449 FVW589861:FVY589863 FVW589983:FVY589985 FVW655397:FVY655399 FVW655519:FVY655521 FVW720933:FVY720935 FVW721055:FVY721057 FVW786469:FVY786471 FVW786591:FVY786593 FVW852005:FVY852007 FVW852127:FVY852129 FVW917541:FVY917543 FVW917663:FVY917665 FVW983077:FVY983079 FVW983199:FVY983201 GFS37:GFU39 GFS159:GFU161 GFS65573:GFU65575 GFS65695:GFU65697 GFS131109:GFU131111 GFS131231:GFU131233 GFS196645:GFU196647 GFS196767:GFU196769 GFS262181:GFU262183 GFS262303:GFU262305 GFS327717:GFU327719 GFS327839:GFU327841 GFS393253:GFU393255 GFS393375:GFU393377 GFS458789:GFU458791 GFS458911:GFU458913 GFS524325:GFU524327 GFS524447:GFU524449 GFS589861:GFU589863 GFS589983:GFU589985 GFS655397:GFU655399 GFS655519:GFU655521 GFS720933:GFU720935 GFS721055:GFU721057 GFS786469:GFU786471 GFS786591:GFU786593 GFS852005:GFU852007 GFS852127:GFU852129 GFS917541:GFU917543 GFS917663:GFU917665 GFS983077:GFU983079 GFS983199:GFU983201 GPO37:GPQ39 GPO159:GPQ161 GPO65573:GPQ65575 GPO65695:GPQ65697 GPO131109:GPQ131111 GPO131231:GPQ131233 GPO196645:GPQ196647 GPO196767:GPQ196769 GPO262181:GPQ262183 GPO262303:GPQ262305 GPO327717:GPQ327719 GPO327839:GPQ327841 GPO393253:GPQ393255 GPO393375:GPQ393377 GPO458789:GPQ458791 GPO458911:GPQ458913 GPO524325:GPQ524327 GPO524447:GPQ524449 GPO589861:GPQ589863 GPO589983:GPQ589985 GPO655397:GPQ655399 GPO655519:GPQ655521 GPO720933:GPQ720935 GPO721055:GPQ721057 GPO786469:GPQ786471 GPO786591:GPQ786593 GPO852005:GPQ852007 GPO852127:GPQ852129 GPO917541:GPQ917543 GPO917663:GPQ917665 GPO983077:GPQ983079 GPO983199:GPQ983201 GZK37:GZM39 GZK159:GZM161 GZK65573:GZM65575 GZK65695:GZM65697 GZK131109:GZM131111 GZK131231:GZM131233 GZK196645:GZM196647 GZK196767:GZM196769 GZK262181:GZM262183 GZK262303:GZM262305 GZK327717:GZM327719 GZK327839:GZM327841 GZK393253:GZM393255 GZK393375:GZM393377 GZK458789:GZM458791 GZK458911:GZM458913 GZK524325:GZM524327 GZK524447:GZM524449 GZK589861:GZM589863 GZK589983:GZM589985 GZK655397:GZM655399 GZK655519:GZM655521 GZK720933:GZM720935 GZK721055:GZM721057 GZK786469:GZM786471 GZK786591:GZM786593 GZK852005:GZM852007 GZK852127:GZM852129 GZK917541:GZM917543 GZK917663:GZM917665 GZK983077:GZM983079 GZK983199:GZM983201 HJG37:HJI39 HJG159:HJI161 HJG65573:HJI65575 HJG65695:HJI65697 HJG131109:HJI131111 HJG131231:HJI131233 HJG196645:HJI196647 HJG196767:HJI196769 HJG262181:HJI262183 HJG262303:HJI262305 HJG327717:HJI327719 HJG327839:HJI327841 HJG393253:HJI393255 HJG393375:HJI393377 HJG458789:HJI458791 HJG458911:HJI458913 HJG524325:HJI524327 HJG524447:HJI524449 HJG589861:HJI589863 HJG589983:HJI589985 HJG655397:HJI655399 HJG655519:HJI655521 HJG720933:HJI720935 HJG721055:HJI721057 HJG786469:HJI786471 HJG786591:HJI786593 HJG852005:HJI852007 HJG852127:HJI852129 HJG917541:HJI917543 HJG917663:HJI917665 HJG983077:HJI983079 HJG983199:HJI983201 HTC37:HTE39 HTC159:HTE161 HTC65573:HTE65575 HTC65695:HTE65697 HTC131109:HTE131111 HTC131231:HTE131233 HTC196645:HTE196647 HTC196767:HTE196769 HTC262181:HTE262183 HTC262303:HTE262305 HTC327717:HTE327719 HTC327839:HTE327841 HTC393253:HTE393255 HTC393375:HTE393377 HTC458789:HTE458791 HTC458911:HTE458913 HTC524325:HTE524327 HTC524447:HTE524449 HTC589861:HTE589863 HTC589983:HTE589985 HTC655397:HTE655399 HTC655519:HTE655521 HTC720933:HTE720935 HTC721055:HTE721057 HTC786469:HTE786471 HTC786591:HTE786593 HTC852005:HTE852007 HTC852127:HTE852129 HTC917541:HTE917543 HTC917663:HTE917665 HTC983077:HTE983079 HTC983199:HTE983201 ICY37:IDA39 ICY159:IDA161 ICY65573:IDA65575 ICY65695:IDA65697 ICY131109:IDA131111 ICY131231:IDA131233 ICY196645:IDA196647 ICY196767:IDA196769 ICY262181:IDA262183 ICY262303:IDA262305 ICY327717:IDA327719 ICY327839:IDA327841 ICY393253:IDA393255 ICY393375:IDA393377 ICY458789:IDA458791 ICY458911:IDA458913 ICY524325:IDA524327 ICY524447:IDA524449 ICY589861:IDA589863 ICY589983:IDA589985 ICY655397:IDA655399 ICY655519:IDA655521 ICY720933:IDA720935 ICY721055:IDA721057 ICY786469:IDA786471 ICY786591:IDA786593 ICY852005:IDA852007 ICY852127:IDA852129 ICY917541:IDA917543 ICY917663:IDA917665 ICY983077:IDA983079 ICY983199:IDA983201 IMU37:IMW39 IMU159:IMW161 IMU65573:IMW65575 IMU65695:IMW65697 IMU131109:IMW131111 IMU131231:IMW131233 IMU196645:IMW196647 IMU196767:IMW196769 IMU262181:IMW262183 IMU262303:IMW262305 IMU327717:IMW327719 IMU327839:IMW327841 IMU393253:IMW393255 IMU393375:IMW393377 IMU458789:IMW458791 IMU458911:IMW458913 IMU524325:IMW524327 IMU524447:IMW524449 IMU589861:IMW589863 IMU589983:IMW589985 IMU655397:IMW655399 IMU655519:IMW655521 IMU720933:IMW720935 IMU721055:IMW721057 IMU786469:IMW786471 IMU786591:IMW786593 IMU852005:IMW852007 IMU852127:IMW852129 IMU917541:IMW917543 IMU917663:IMW917665 IMU983077:IMW983079 IMU983199:IMW983201 IWQ37:IWS39 IWQ159:IWS161 IWQ65573:IWS65575 IWQ65695:IWS65697 IWQ131109:IWS131111 IWQ131231:IWS131233 IWQ196645:IWS196647 IWQ196767:IWS196769 IWQ262181:IWS262183 IWQ262303:IWS262305 IWQ327717:IWS327719 IWQ327839:IWS327841 IWQ393253:IWS393255 IWQ393375:IWS393377 IWQ458789:IWS458791 IWQ458911:IWS458913 IWQ524325:IWS524327 IWQ524447:IWS524449 IWQ589861:IWS589863 IWQ589983:IWS589985 IWQ655397:IWS655399 IWQ655519:IWS655521 IWQ720933:IWS720935 IWQ721055:IWS721057 IWQ786469:IWS786471 IWQ786591:IWS786593 IWQ852005:IWS852007 IWQ852127:IWS852129 IWQ917541:IWS917543 IWQ917663:IWS917665 IWQ983077:IWS983079 IWQ983199:IWS983201 JGM37:JGO39 JGM159:JGO161 JGM65573:JGO65575 JGM65695:JGO65697 JGM131109:JGO131111 JGM131231:JGO131233 JGM196645:JGO196647 JGM196767:JGO196769 JGM262181:JGO262183 JGM262303:JGO262305 JGM327717:JGO327719 JGM327839:JGO327841 JGM393253:JGO393255 JGM393375:JGO393377 JGM458789:JGO458791 JGM458911:JGO458913 JGM524325:JGO524327 JGM524447:JGO524449 JGM589861:JGO589863 JGM589983:JGO589985 JGM655397:JGO655399 JGM655519:JGO655521 JGM720933:JGO720935 JGM721055:JGO721057 JGM786469:JGO786471 JGM786591:JGO786593 JGM852005:JGO852007 JGM852127:JGO852129 JGM917541:JGO917543 JGM917663:JGO917665 JGM983077:JGO983079 JGM983199:JGO983201 JQI37:JQK39 JQI159:JQK161 JQI65573:JQK65575 JQI65695:JQK65697 JQI131109:JQK131111 JQI131231:JQK131233 JQI196645:JQK196647 JQI196767:JQK196769 JQI262181:JQK262183 JQI262303:JQK262305 JQI327717:JQK327719 JQI327839:JQK327841 JQI393253:JQK393255 JQI393375:JQK393377 JQI458789:JQK458791 JQI458911:JQK458913 JQI524325:JQK524327 JQI524447:JQK524449 JQI589861:JQK589863 JQI589983:JQK589985 JQI655397:JQK655399 JQI655519:JQK655521 JQI720933:JQK720935 JQI721055:JQK721057 JQI786469:JQK786471 JQI786591:JQK786593 JQI852005:JQK852007 JQI852127:JQK852129 JQI917541:JQK917543 JQI917663:JQK917665 JQI983077:JQK983079 JQI983199:JQK983201 KAE37:KAG39 KAE159:KAG161 KAE65573:KAG65575 KAE65695:KAG65697 KAE131109:KAG131111 KAE131231:KAG131233 KAE196645:KAG196647 KAE196767:KAG196769 KAE262181:KAG262183 KAE262303:KAG262305 KAE327717:KAG327719 KAE327839:KAG327841 KAE393253:KAG393255 KAE393375:KAG393377 KAE458789:KAG458791 KAE458911:KAG458913 KAE524325:KAG524327 KAE524447:KAG524449 KAE589861:KAG589863 KAE589983:KAG589985 KAE655397:KAG655399 KAE655519:KAG655521 KAE720933:KAG720935 KAE721055:KAG721057 KAE786469:KAG786471 KAE786591:KAG786593 KAE852005:KAG852007 KAE852127:KAG852129 KAE917541:KAG917543 KAE917663:KAG917665 KAE983077:KAG983079 KAE983199:KAG983201 KKA37:KKC39 KKA159:KKC161 KKA65573:KKC65575 KKA65695:KKC65697 KKA131109:KKC131111 KKA131231:KKC131233 KKA196645:KKC196647 KKA196767:KKC196769 KKA262181:KKC262183 KKA262303:KKC262305 KKA327717:KKC327719 KKA327839:KKC327841 KKA393253:KKC393255 KKA393375:KKC393377 KKA458789:KKC458791 KKA458911:KKC458913 KKA524325:KKC524327 KKA524447:KKC524449 KKA589861:KKC589863 KKA589983:KKC589985 KKA655397:KKC655399 KKA655519:KKC655521 KKA720933:KKC720935 KKA721055:KKC721057 KKA786469:KKC786471 KKA786591:KKC786593 KKA852005:KKC852007 KKA852127:KKC852129 KKA917541:KKC917543 KKA917663:KKC917665 KKA983077:KKC983079 KKA983199:KKC983201 KTW37:KTY39 KTW159:KTY161 KTW65573:KTY65575 KTW65695:KTY65697 KTW131109:KTY131111 KTW131231:KTY131233 KTW196645:KTY196647 KTW196767:KTY196769 KTW262181:KTY262183 KTW262303:KTY262305 KTW327717:KTY327719 KTW327839:KTY327841 KTW393253:KTY393255 KTW393375:KTY393377 KTW458789:KTY458791 KTW458911:KTY458913 KTW524325:KTY524327 KTW524447:KTY524449 KTW589861:KTY589863 KTW589983:KTY589985 KTW655397:KTY655399 KTW655519:KTY655521 KTW720933:KTY720935 KTW721055:KTY721057 KTW786469:KTY786471 KTW786591:KTY786593 KTW852005:KTY852007 KTW852127:KTY852129 KTW917541:KTY917543 KTW917663:KTY917665 KTW983077:KTY983079 KTW983199:KTY983201 LDS37:LDU39 LDS159:LDU161 LDS65573:LDU65575 LDS65695:LDU65697 LDS131109:LDU131111 LDS131231:LDU131233 LDS196645:LDU196647 LDS196767:LDU196769 LDS262181:LDU262183 LDS262303:LDU262305 LDS327717:LDU327719 LDS327839:LDU327841 LDS393253:LDU393255 LDS393375:LDU393377 LDS458789:LDU458791 LDS458911:LDU458913 LDS524325:LDU524327 LDS524447:LDU524449 LDS589861:LDU589863 LDS589983:LDU589985 LDS655397:LDU655399 LDS655519:LDU655521 LDS720933:LDU720935 LDS721055:LDU721057 LDS786469:LDU786471 LDS786591:LDU786593 LDS852005:LDU852007 LDS852127:LDU852129 LDS917541:LDU917543 LDS917663:LDU917665 LDS983077:LDU983079 LDS983199:LDU983201 LNO37:LNQ39 LNO159:LNQ161 LNO65573:LNQ65575 LNO65695:LNQ65697 LNO131109:LNQ131111 LNO131231:LNQ131233 LNO196645:LNQ196647 LNO196767:LNQ196769 LNO262181:LNQ262183 LNO262303:LNQ262305 LNO327717:LNQ327719 LNO327839:LNQ327841 LNO393253:LNQ393255 LNO393375:LNQ393377 LNO458789:LNQ458791 LNO458911:LNQ458913 LNO524325:LNQ524327 LNO524447:LNQ524449 LNO589861:LNQ589863 LNO589983:LNQ589985 LNO655397:LNQ655399 LNO655519:LNQ655521 LNO720933:LNQ720935 LNO721055:LNQ721057 LNO786469:LNQ786471 LNO786591:LNQ786593 LNO852005:LNQ852007 LNO852127:LNQ852129 LNO917541:LNQ917543 LNO917663:LNQ917665 LNO983077:LNQ983079 LNO983199:LNQ983201 LXK37:LXM39 LXK159:LXM161 LXK65573:LXM65575 LXK65695:LXM65697 LXK131109:LXM131111 LXK131231:LXM131233 LXK196645:LXM196647 LXK196767:LXM196769 LXK262181:LXM262183 LXK262303:LXM262305 LXK327717:LXM327719 LXK327839:LXM327841 LXK393253:LXM393255 LXK393375:LXM393377 LXK458789:LXM458791 LXK458911:LXM458913 LXK524325:LXM524327 LXK524447:LXM524449 LXK589861:LXM589863 LXK589983:LXM589985 LXK655397:LXM655399 LXK655519:LXM655521 LXK720933:LXM720935 LXK721055:LXM721057 LXK786469:LXM786471 LXK786591:LXM786593 LXK852005:LXM852007 LXK852127:LXM852129 LXK917541:LXM917543 LXK917663:LXM917665 LXK983077:LXM983079 LXK983199:LXM983201 MHG37:MHI39 MHG159:MHI161 MHG65573:MHI65575 MHG65695:MHI65697 MHG131109:MHI131111 MHG131231:MHI131233 MHG196645:MHI196647 MHG196767:MHI196769 MHG262181:MHI262183 MHG262303:MHI262305 MHG327717:MHI327719 MHG327839:MHI327841 MHG393253:MHI393255 MHG393375:MHI393377 MHG458789:MHI458791 MHG458911:MHI458913 MHG524325:MHI524327 MHG524447:MHI524449 MHG589861:MHI589863 MHG589983:MHI589985 MHG655397:MHI655399 MHG655519:MHI655521 MHG720933:MHI720935 MHG721055:MHI721057 MHG786469:MHI786471 MHG786591:MHI786593 MHG852005:MHI852007 MHG852127:MHI852129 MHG917541:MHI917543 MHG917663:MHI917665 MHG983077:MHI983079 MHG983199:MHI983201 MRC37:MRE39 MRC159:MRE161 MRC65573:MRE65575 MRC65695:MRE65697 MRC131109:MRE131111 MRC131231:MRE131233 MRC196645:MRE196647 MRC196767:MRE196769 MRC262181:MRE262183 MRC262303:MRE262305 MRC327717:MRE327719 MRC327839:MRE327841 MRC393253:MRE393255 MRC393375:MRE393377 MRC458789:MRE458791 MRC458911:MRE458913 MRC524325:MRE524327 MRC524447:MRE524449 MRC589861:MRE589863 MRC589983:MRE589985 MRC655397:MRE655399 MRC655519:MRE655521 MRC720933:MRE720935 MRC721055:MRE721057 MRC786469:MRE786471 MRC786591:MRE786593 MRC852005:MRE852007 MRC852127:MRE852129 MRC917541:MRE917543 MRC917663:MRE917665 MRC983077:MRE983079 MRC983199:MRE983201 NAY37:NBA39 NAY159:NBA161 NAY65573:NBA65575 NAY65695:NBA65697 NAY131109:NBA131111 NAY131231:NBA131233 NAY196645:NBA196647 NAY196767:NBA196769 NAY262181:NBA262183 NAY262303:NBA262305 NAY327717:NBA327719 NAY327839:NBA327841 NAY393253:NBA393255 NAY393375:NBA393377 NAY458789:NBA458791 NAY458911:NBA458913 NAY524325:NBA524327 NAY524447:NBA524449 NAY589861:NBA589863 NAY589983:NBA589985 NAY655397:NBA655399 NAY655519:NBA655521 NAY720933:NBA720935 NAY721055:NBA721057 NAY786469:NBA786471 NAY786591:NBA786593 NAY852005:NBA852007 NAY852127:NBA852129 NAY917541:NBA917543 NAY917663:NBA917665 NAY983077:NBA983079 NAY983199:NBA983201 NKU37:NKW39 NKU159:NKW161 NKU65573:NKW65575 NKU65695:NKW65697 NKU131109:NKW131111 NKU131231:NKW131233 NKU196645:NKW196647 NKU196767:NKW196769 NKU262181:NKW262183 NKU262303:NKW262305 NKU327717:NKW327719 NKU327839:NKW327841 NKU393253:NKW393255 NKU393375:NKW393377 NKU458789:NKW458791 NKU458911:NKW458913 NKU524325:NKW524327 NKU524447:NKW524449 NKU589861:NKW589863 NKU589983:NKW589985 NKU655397:NKW655399 NKU655519:NKW655521 NKU720933:NKW720935 NKU721055:NKW721057 NKU786469:NKW786471 NKU786591:NKW786593 NKU852005:NKW852007 NKU852127:NKW852129 NKU917541:NKW917543 NKU917663:NKW917665 NKU983077:NKW983079 NKU983199:NKW983201 NUQ37:NUS39 NUQ159:NUS161 NUQ65573:NUS65575 NUQ65695:NUS65697 NUQ131109:NUS131111 NUQ131231:NUS131233 NUQ196645:NUS196647 NUQ196767:NUS196769 NUQ262181:NUS262183 NUQ262303:NUS262305 NUQ327717:NUS327719 NUQ327839:NUS327841 NUQ393253:NUS393255 NUQ393375:NUS393377 NUQ458789:NUS458791 NUQ458911:NUS458913 NUQ524325:NUS524327 NUQ524447:NUS524449 NUQ589861:NUS589863 NUQ589983:NUS589985 NUQ655397:NUS655399 NUQ655519:NUS655521 NUQ720933:NUS720935 NUQ721055:NUS721057 NUQ786469:NUS786471 NUQ786591:NUS786593 NUQ852005:NUS852007 NUQ852127:NUS852129 NUQ917541:NUS917543 NUQ917663:NUS917665 NUQ983077:NUS983079 NUQ983199:NUS983201 OEM37:OEO39 OEM159:OEO161 OEM65573:OEO65575 OEM65695:OEO65697 OEM131109:OEO131111 OEM131231:OEO131233 OEM196645:OEO196647 OEM196767:OEO196769 OEM262181:OEO262183 OEM262303:OEO262305 OEM327717:OEO327719 OEM327839:OEO327841 OEM393253:OEO393255 OEM393375:OEO393377 OEM458789:OEO458791 OEM458911:OEO458913 OEM524325:OEO524327 OEM524447:OEO524449 OEM589861:OEO589863 OEM589983:OEO589985 OEM655397:OEO655399 OEM655519:OEO655521 OEM720933:OEO720935 OEM721055:OEO721057 OEM786469:OEO786471 OEM786591:OEO786593 OEM852005:OEO852007 OEM852127:OEO852129 OEM917541:OEO917543 OEM917663:OEO917665 OEM983077:OEO983079 OEM983199:OEO983201 OOI37:OOK39 OOI159:OOK161 OOI65573:OOK65575 OOI65695:OOK65697 OOI131109:OOK131111 OOI131231:OOK131233 OOI196645:OOK196647 OOI196767:OOK196769 OOI262181:OOK262183 OOI262303:OOK262305 OOI327717:OOK327719 OOI327839:OOK327841 OOI393253:OOK393255 OOI393375:OOK393377 OOI458789:OOK458791 OOI458911:OOK458913 OOI524325:OOK524327 OOI524447:OOK524449 OOI589861:OOK589863 OOI589983:OOK589985 OOI655397:OOK655399 OOI655519:OOK655521 OOI720933:OOK720935 OOI721055:OOK721057 OOI786469:OOK786471 OOI786591:OOK786593 OOI852005:OOK852007 OOI852127:OOK852129 OOI917541:OOK917543 OOI917663:OOK917665 OOI983077:OOK983079 OOI983199:OOK983201 OYE37:OYG39 OYE159:OYG161 OYE65573:OYG65575 OYE65695:OYG65697 OYE131109:OYG131111 OYE131231:OYG131233 OYE196645:OYG196647 OYE196767:OYG196769 OYE262181:OYG262183 OYE262303:OYG262305 OYE327717:OYG327719 OYE327839:OYG327841 OYE393253:OYG393255 OYE393375:OYG393377 OYE458789:OYG458791 OYE458911:OYG458913 OYE524325:OYG524327 OYE524447:OYG524449 OYE589861:OYG589863 OYE589983:OYG589985 OYE655397:OYG655399 OYE655519:OYG655521 OYE720933:OYG720935 OYE721055:OYG721057 OYE786469:OYG786471 OYE786591:OYG786593 OYE852005:OYG852007 OYE852127:OYG852129 OYE917541:OYG917543 OYE917663:OYG917665 OYE983077:OYG983079 OYE983199:OYG983201 PIA37:PIC39 PIA159:PIC161 PIA65573:PIC65575 PIA65695:PIC65697 PIA131109:PIC131111 PIA131231:PIC131233 PIA196645:PIC196647 PIA196767:PIC196769 PIA262181:PIC262183 PIA262303:PIC262305 PIA327717:PIC327719 PIA327839:PIC327841 PIA393253:PIC393255 PIA393375:PIC393377 PIA458789:PIC458791 PIA458911:PIC458913 PIA524325:PIC524327 PIA524447:PIC524449 PIA589861:PIC589863 PIA589983:PIC589985 PIA655397:PIC655399 PIA655519:PIC655521 PIA720933:PIC720935 PIA721055:PIC721057 PIA786469:PIC786471 PIA786591:PIC786593 PIA852005:PIC852007 PIA852127:PIC852129 PIA917541:PIC917543 PIA917663:PIC917665 PIA983077:PIC983079 PIA983199:PIC983201 PRW37:PRY39 PRW159:PRY161 PRW65573:PRY65575 PRW65695:PRY65697 PRW131109:PRY131111 PRW131231:PRY131233 PRW196645:PRY196647 PRW196767:PRY196769 PRW262181:PRY262183 PRW262303:PRY262305 PRW327717:PRY327719 PRW327839:PRY327841 PRW393253:PRY393255 PRW393375:PRY393377 PRW458789:PRY458791 PRW458911:PRY458913 PRW524325:PRY524327 PRW524447:PRY524449 PRW589861:PRY589863 PRW589983:PRY589985 PRW655397:PRY655399 PRW655519:PRY655521 PRW720933:PRY720935 PRW721055:PRY721057 PRW786469:PRY786471 PRW786591:PRY786593 PRW852005:PRY852007 PRW852127:PRY852129 PRW917541:PRY917543 PRW917663:PRY917665 PRW983077:PRY983079 PRW983199:PRY983201 QBS37:QBU39 QBS159:QBU161 QBS65573:QBU65575 QBS65695:QBU65697 QBS131109:QBU131111 QBS131231:QBU131233 QBS196645:QBU196647 QBS196767:QBU196769 QBS262181:QBU262183 QBS262303:QBU262305 QBS327717:QBU327719 QBS327839:QBU327841 QBS393253:QBU393255 QBS393375:QBU393377 QBS458789:QBU458791 QBS458911:QBU458913 QBS524325:QBU524327 QBS524447:QBU524449 QBS589861:QBU589863 QBS589983:QBU589985 QBS655397:QBU655399 QBS655519:QBU655521 QBS720933:QBU720935 QBS721055:QBU721057 QBS786469:QBU786471 QBS786591:QBU786593 QBS852005:QBU852007 QBS852127:QBU852129 QBS917541:QBU917543 QBS917663:QBU917665 QBS983077:QBU983079 QBS983199:QBU983201 QLO37:QLQ39 QLO159:QLQ161 QLO65573:QLQ65575 QLO65695:QLQ65697 QLO131109:QLQ131111 QLO131231:QLQ131233 QLO196645:QLQ196647 QLO196767:QLQ196769 QLO262181:QLQ262183 QLO262303:QLQ262305 QLO327717:QLQ327719 QLO327839:QLQ327841 QLO393253:QLQ393255 QLO393375:QLQ393377 QLO458789:QLQ458791 QLO458911:QLQ458913 QLO524325:QLQ524327 QLO524447:QLQ524449 QLO589861:QLQ589863 QLO589983:QLQ589985 QLO655397:QLQ655399 QLO655519:QLQ655521 QLO720933:QLQ720935 QLO721055:QLQ721057 QLO786469:QLQ786471 QLO786591:QLQ786593 QLO852005:QLQ852007 QLO852127:QLQ852129 QLO917541:QLQ917543 QLO917663:QLQ917665 QLO983077:QLQ983079 QLO983199:QLQ983201 QVK37:QVM39 QVK159:QVM161 QVK65573:QVM65575 QVK65695:QVM65697 QVK131109:QVM131111 QVK131231:QVM131233 QVK196645:QVM196647 QVK196767:QVM196769 QVK262181:QVM262183 QVK262303:QVM262305 QVK327717:QVM327719 QVK327839:QVM327841 QVK393253:QVM393255 QVK393375:QVM393377 QVK458789:QVM458791 QVK458911:QVM458913 QVK524325:QVM524327 QVK524447:QVM524449 QVK589861:QVM589863 QVK589983:QVM589985 QVK655397:QVM655399 QVK655519:QVM655521 QVK720933:QVM720935 QVK721055:QVM721057 QVK786469:QVM786471 QVK786591:QVM786593 QVK852005:QVM852007 QVK852127:QVM852129 QVK917541:QVM917543 QVK917663:QVM917665 QVK983077:QVM983079 QVK983199:QVM983201 RFG37:RFI39 RFG159:RFI161 RFG65573:RFI65575 RFG65695:RFI65697 RFG131109:RFI131111 RFG131231:RFI131233 RFG196645:RFI196647 RFG196767:RFI196769 RFG262181:RFI262183 RFG262303:RFI262305 RFG327717:RFI327719 RFG327839:RFI327841 RFG393253:RFI393255 RFG393375:RFI393377 RFG458789:RFI458791 RFG458911:RFI458913 RFG524325:RFI524327 RFG524447:RFI524449 RFG589861:RFI589863 RFG589983:RFI589985 RFG655397:RFI655399 RFG655519:RFI655521 RFG720933:RFI720935 RFG721055:RFI721057 RFG786469:RFI786471 RFG786591:RFI786593 RFG852005:RFI852007 RFG852127:RFI852129 RFG917541:RFI917543 RFG917663:RFI917665 RFG983077:RFI983079 RFG983199:RFI983201 RPC37:RPE39 RPC159:RPE161 RPC65573:RPE65575 RPC65695:RPE65697 RPC131109:RPE131111 RPC131231:RPE131233 RPC196645:RPE196647 RPC196767:RPE196769 RPC262181:RPE262183 RPC262303:RPE262305 RPC327717:RPE327719 RPC327839:RPE327841 RPC393253:RPE393255 RPC393375:RPE393377 RPC458789:RPE458791 RPC458911:RPE458913 RPC524325:RPE524327 RPC524447:RPE524449 RPC589861:RPE589863 RPC589983:RPE589985 RPC655397:RPE655399 RPC655519:RPE655521 RPC720933:RPE720935 RPC721055:RPE721057 RPC786469:RPE786471 RPC786591:RPE786593 RPC852005:RPE852007 RPC852127:RPE852129 RPC917541:RPE917543 RPC917663:RPE917665 RPC983077:RPE983079 RPC983199:RPE983201 RYY37:RZA39 RYY159:RZA161 RYY65573:RZA65575 RYY65695:RZA65697 RYY131109:RZA131111 RYY131231:RZA131233 RYY196645:RZA196647 RYY196767:RZA196769 RYY262181:RZA262183 RYY262303:RZA262305 RYY327717:RZA327719 RYY327839:RZA327841 RYY393253:RZA393255 RYY393375:RZA393377 RYY458789:RZA458791 RYY458911:RZA458913 RYY524325:RZA524327 RYY524447:RZA524449 RYY589861:RZA589863 RYY589983:RZA589985 RYY655397:RZA655399 RYY655519:RZA655521 RYY720933:RZA720935 RYY721055:RZA721057 RYY786469:RZA786471 RYY786591:RZA786593 RYY852005:RZA852007 RYY852127:RZA852129 RYY917541:RZA917543 RYY917663:RZA917665 RYY983077:RZA983079 RYY983199:RZA983201 SIU37:SIW39 SIU159:SIW161 SIU65573:SIW65575 SIU65695:SIW65697 SIU131109:SIW131111 SIU131231:SIW131233 SIU196645:SIW196647 SIU196767:SIW196769 SIU262181:SIW262183 SIU262303:SIW262305 SIU327717:SIW327719 SIU327839:SIW327841 SIU393253:SIW393255 SIU393375:SIW393377 SIU458789:SIW458791 SIU458911:SIW458913 SIU524325:SIW524327 SIU524447:SIW524449 SIU589861:SIW589863 SIU589983:SIW589985 SIU655397:SIW655399 SIU655519:SIW655521 SIU720933:SIW720935 SIU721055:SIW721057 SIU786469:SIW786471 SIU786591:SIW786593 SIU852005:SIW852007 SIU852127:SIW852129 SIU917541:SIW917543 SIU917663:SIW917665 SIU983077:SIW983079 SIU983199:SIW983201 SSQ37:SSS39 SSQ159:SSS161 SSQ65573:SSS65575 SSQ65695:SSS65697 SSQ131109:SSS131111 SSQ131231:SSS131233 SSQ196645:SSS196647 SSQ196767:SSS196769 SSQ262181:SSS262183 SSQ262303:SSS262305 SSQ327717:SSS327719 SSQ327839:SSS327841 SSQ393253:SSS393255 SSQ393375:SSS393377 SSQ458789:SSS458791 SSQ458911:SSS458913 SSQ524325:SSS524327 SSQ524447:SSS524449 SSQ589861:SSS589863 SSQ589983:SSS589985 SSQ655397:SSS655399 SSQ655519:SSS655521 SSQ720933:SSS720935 SSQ721055:SSS721057 SSQ786469:SSS786471 SSQ786591:SSS786593 SSQ852005:SSS852007 SSQ852127:SSS852129 SSQ917541:SSS917543 SSQ917663:SSS917665 SSQ983077:SSS983079 SSQ983199:SSS983201 TCM37:TCO39 TCM159:TCO161 TCM65573:TCO65575 TCM65695:TCO65697 TCM131109:TCO131111 TCM131231:TCO131233 TCM196645:TCO196647 TCM196767:TCO196769 TCM262181:TCO262183 TCM262303:TCO262305 TCM327717:TCO327719 TCM327839:TCO327841 TCM393253:TCO393255 TCM393375:TCO393377 TCM458789:TCO458791 TCM458911:TCO458913 TCM524325:TCO524327 TCM524447:TCO524449 TCM589861:TCO589863 TCM589983:TCO589985 TCM655397:TCO655399 TCM655519:TCO655521 TCM720933:TCO720935 TCM721055:TCO721057 TCM786469:TCO786471 TCM786591:TCO786593 TCM852005:TCO852007 TCM852127:TCO852129 TCM917541:TCO917543 TCM917663:TCO917665 TCM983077:TCO983079 TCM983199:TCO983201 TMI37:TMK39 TMI159:TMK161 TMI65573:TMK65575 TMI65695:TMK65697 TMI131109:TMK131111 TMI131231:TMK131233 TMI196645:TMK196647 TMI196767:TMK196769 TMI262181:TMK262183 TMI262303:TMK262305 TMI327717:TMK327719 TMI327839:TMK327841 TMI393253:TMK393255 TMI393375:TMK393377 TMI458789:TMK458791 TMI458911:TMK458913 TMI524325:TMK524327 TMI524447:TMK524449 TMI589861:TMK589863 TMI589983:TMK589985 TMI655397:TMK655399 TMI655519:TMK655521 TMI720933:TMK720935 TMI721055:TMK721057 TMI786469:TMK786471 TMI786591:TMK786593 TMI852005:TMK852007 TMI852127:TMK852129 TMI917541:TMK917543 TMI917663:TMK917665 TMI983077:TMK983079 TMI983199:TMK983201 TWE37:TWG39 TWE159:TWG161 TWE65573:TWG65575 TWE65695:TWG65697 TWE131109:TWG131111 TWE131231:TWG131233 TWE196645:TWG196647 TWE196767:TWG196769 TWE262181:TWG262183 TWE262303:TWG262305 TWE327717:TWG327719 TWE327839:TWG327841 TWE393253:TWG393255 TWE393375:TWG393377 TWE458789:TWG458791 TWE458911:TWG458913 TWE524325:TWG524327 TWE524447:TWG524449 TWE589861:TWG589863 TWE589983:TWG589985 TWE655397:TWG655399 TWE655519:TWG655521 TWE720933:TWG720935 TWE721055:TWG721057 TWE786469:TWG786471 TWE786591:TWG786593 TWE852005:TWG852007 TWE852127:TWG852129 TWE917541:TWG917543 TWE917663:TWG917665 TWE983077:TWG983079 TWE983199:TWG983201 UGA37:UGC39 UGA159:UGC161 UGA65573:UGC65575 UGA65695:UGC65697 UGA131109:UGC131111 UGA131231:UGC131233 UGA196645:UGC196647 UGA196767:UGC196769 UGA262181:UGC262183 UGA262303:UGC262305 UGA327717:UGC327719 UGA327839:UGC327841 UGA393253:UGC393255 UGA393375:UGC393377 UGA458789:UGC458791 UGA458911:UGC458913 UGA524325:UGC524327 UGA524447:UGC524449 UGA589861:UGC589863 UGA589983:UGC589985 UGA655397:UGC655399 UGA655519:UGC655521 UGA720933:UGC720935 UGA721055:UGC721057 UGA786469:UGC786471 UGA786591:UGC786593 UGA852005:UGC852007 UGA852127:UGC852129 UGA917541:UGC917543 UGA917663:UGC917665 UGA983077:UGC983079 UGA983199:UGC983201 UPW37:UPY39 UPW159:UPY161 UPW65573:UPY65575 UPW65695:UPY65697 UPW131109:UPY131111 UPW131231:UPY131233 UPW196645:UPY196647 UPW196767:UPY196769 UPW262181:UPY262183 UPW262303:UPY262305 UPW327717:UPY327719 UPW327839:UPY327841 UPW393253:UPY393255 UPW393375:UPY393377 UPW458789:UPY458791 UPW458911:UPY458913 UPW524325:UPY524327 UPW524447:UPY524449 UPW589861:UPY589863 UPW589983:UPY589985 UPW655397:UPY655399 UPW655519:UPY655521 UPW720933:UPY720935 UPW721055:UPY721057 UPW786469:UPY786471 UPW786591:UPY786593 UPW852005:UPY852007 UPW852127:UPY852129 UPW917541:UPY917543 UPW917663:UPY917665 UPW983077:UPY983079 UPW983199:UPY983201 UZS37:UZU39 UZS159:UZU161 UZS65573:UZU65575 UZS65695:UZU65697 UZS131109:UZU131111 UZS131231:UZU131233 UZS196645:UZU196647 UZS196767:UZU196769 UZS262181:UZU262183 UZS262303:UZU262305 UZS327717:UZU327719 UZS327839:UZU327841 UZS393253:UZU393255 UZS393375:UZU393377 UZS458789:UZU458791 UZS458911:UZU458913 UZS524325:UZU524327 UZS524447:UZU524449 UZS589861:UZU589863 UZS589983:UZU589985 UZS655397:UZU655399 UZS655519:UZU655521 UZS720933:UZU720935 UZS721055:UZU721057 UZS786469:UZU786471 UZS786591:UZU786593 UZS852005:UZU852007 UZS852127:UZU852129 UZS917541:UZU917543 UZS917663:UZU917665 UZS983077:UZU983079 UZS983199:UZU983201 VJO37:VJQ39 VJO159:VJQ161 VJO65573:VJQ65575 VJO65695:VJQ65697 VJO131109:VJQ131111 VJO131231:VJQ131233 VJO196645:VJQ196647 VJO196767:VJQ196769 VJO262181:VJQ262183 VJO262303:VJQ262305 VJO327717:VJQ327719 VJO327839:VJQ327841 VJO393253:VJQ393255 VJO393375:VJQ393377 VJO458789:VJQ458791 VJO458911:VJQ458913 VJO524325:VJQ524327 VJO524447:VJQ524449 VJO589861:VJQ589863 VJO589983:VJQ589985 VJO655397:VJQ655399 VJO655519:VJQ655521 VJO720933:VJQ720935 VJO721055:VJQ721057 VJO786469:VJQ786471 VJO786591:VJQ786593 VJO852005:VJQ852007 VJO852127:VJQ852129 VJO917541:VJQ917543 VJO917663:VJQ917665 VJO983077:VJQ983079 VJO983199:VJQ983201 VTK37:VTM39 VTK159:VTM161 VTK65573:VTM65575 VTK65695:VTM65697 VTK131109:VTM131111 VTK131231:VTM131233 VTK196645:VTM196647 VTK196767:VTM196769 VTK262181:VTM262183 VTK262303:VTM262305 VTK327717:VTM327719 VTK327839:VTM327841 VTK393253:VTM393255 VTK393375:VTM393377 VTK458789:VTM458791 VTK458911:VTM458913 VTK524325:VTM524327 VTK524447:VTM524449 VTK589861:VTM589863 VTK589983:VTM589985 VTK655397:VTM655399 VTK655519:VTM655521 VTK720933:VTM720935 VTK721055:VTM721057 VTK786469:VTM786471 VTK786591:VTM786593 VTK852005:VTM852007 VTK852127:VTM852129 VTK917541:VTM917543 VTK917663:VTM917665 VTK983077:VTM983079 VTK983199:VTM983201 WDG37:WDI39 WDG159:WDI161 WDG65573:WDI65575 WDG65695:WDI65697 WDG131109:WDI131111 WDG131231:WDI131233 WDG196645:WDI196647 WDG196767:WDI196769 WDG262181:WDI262183 WDG262303:WDI262305 WDG327717:WDI327719 WDG327839:WDI327841 WDG393253:WDI393255 WDG393375:WDI393377 WDG458789:WDI458791 WDG458911:WDI458913 WDG524325:WDI524327 WDG524447:WDI524449 WDG589861:WDI589863 WDG589983:WDI589985 WDG655397:WDI655399 WDG655519:WDI655521 WDG720933:WDI720935 WDG721055:WDI721057 WDG786469:WDI786471 WDG786591:WDI786593 WDG852005:WDI852007 WDG852127:WDI852129 WDG917541:WDI917543 WDG917663:WDI917665 WDG983077:WDI983079 WDG983199:WDI983201 WNC37:WNE39 WNC159:WNE161 WNC65573:WNE65575 WNC65695:WNE65697 WNC131109:WNE131111 WNC131231:WNE131233 WNC196645:WNE196647 WNC196767:WNE196769 WNC262181:WNE262183 WNC262303:WNE262305 WNC327717:WNE327719 WNC327839:WNE327841 WNC393253:WNE393255 WNC393375:WNE393377 WNC458789:WNE458791 WNC458911:WNE458913 WNC524325:WNE524327 WNC524447:WNE524449 WNC589861:WNE589863 WNC589983:WNE589985 WNC655397:WNE655399 WNC655519:WNE655521 WNC720933:WNE720935 WNC721055:WNE721057 WNC786469:WNE786471 WNC786591:WNE786593 WNC852005:WNE852007 WNC852127:WNE852129 WNC917541:WNE917543 WNC917663:WNE917665 WNC983077:WNE983079 WNC983199:WNE983201 WWY37:WXA39 WWY159:WXA161 WWY65573:WXA65575 WWY65695:WXA65697 WWY131109:WXA131111 WWY131231:WXA131233 WWY196645:WXA196647 WWY196767:WXA196769 WWY262181:WXA262183 WWY262303:WXA262305 WWY327717:WXA327719 WWY327839:WXA327841 WWY393253:WXA393255 WWY393375:WXA393377 WWY458789:WXA458791 WWY458911:WXA458913 WWY524325:WXA524327 WWY524447:WXA524449 WWY589861:WXA589863 WWY589983:WXA589985 WWY655397:WXA655399 WWY655519:WXA655521 WWY720933:WXA720935 WWY721055:WXA721057 WWY786469:WXA786471 WWY786591:WXA786593 WWY852005:WXA852007 WWY852127:WXA852129 WWY917541:WXA917543 WWY917663:WXA917665 WWY983077:WXA983079 WWY983199:WXA983201">
      <formula1>"登－,届－"</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"〇,"</xm:f>
          </x14:formula1>
          <xm:sqref>BB107:BC111 KX107:KY111 UT107:UU111 AEP107:AEQ111 AOL107:AOM111 AYH107:AYI111 BID107:BIE111 BRZ107:BSA111 CBV107:CBW111 CLR107:CLS111 CVN107:CVO111 DFJ107:DFK111 DPF107:DPG111 DZB107:DZC111 EIX107:EIY111 EST107:ESU111 FCP107:FCQ111 FML107:FMM111 FWH107:FWI111 GGD107:GGE111 GPZ107:GQA111 GZV107:GZW111 HJR107:HJS111 HTN107:HTO111 IDJ107:IDK111 INF107:ING111 IXB107:IXC111 JGX107:JGY111 JQT107:JQU111 KAP107:KAQ111 KKL107:KKM111 KUH107:KUI111 LED107:LEE111 LNZ107:LOA111 LXV107:LXW111 MHR107:MHS111 MRN107:MRO111 NBJ107:NBK111 NLF107:NLG111 NVB107:NVC111 OEX107:OEY111 OOT107:OOU111 OYP107:OYQ111 PIL107:PIM111 PSH107:PSI111 QCD107:QCE111 QLZ107:QMA111 QVV107:QVW111 RFR107:RFS111 RPN107:RPO111 RZJ107:RZK111 SJF107:SJG111 STB107:STC111 TCX107:TCY111 TMT107:TMU111 TWP107:TWQ111 UGL107:UGM111 UQH107:UQI111 VAD107:VAE111 VJZ107:VKA111 VTV107:VTW111 WDR107:WDS111 WNN107:WNO111 WXJ107:WXK111 BB65643:BC65647 KX65643:KY65647 UT65643:UU65647 AEP65643:AEQ65647 AOL65643:AOM65647 AYH65643:AYI65647 BID65643:BIE65647 BRZ65643:BSA65647 CBV65643:CBW65647 CLR65643:CLS65647 CVN65643:CVO65647 DFJ65643:DFK65647 DPF65643:DPG65647 DZB65643:DZC65647 EIX65643:EIY65647 EST65643:ESU65647 FCP65643:FCQ65647 FML65643:FMM65647 FWH65643:FWI65647 GGD65643:GGE65647 GPZ65643:GQA65647 GZV65643:GZW65647 HJR65643:HJS65647 HTN65643:HTO65647 IDJ65643:IDK65647 INF65643:ING65647 IXB65643:IXC65647 JGX65643:JGY65647 JQT65643:JQU65647 KAP65643:KAQ65647 KKL65643:KKM65647 KUH65643:KUI65647 LED65643:LEE65647 LNZ65643:LOA65647 LXV65643:LXW65647 MHR65643:MHS65647 MRN65643:MRO65647 NBJ65643:NBK65647 NLF65643:NLG65647 NVB65643:NVC65647 OEX65643:OEY65647 OOT65643:OOU65647 OYP65643:OYQ65647 PIL65643:PIM65647 PSH65643:PSI65647 QCD65643:QCE65647 QLZ65643:QMA65647 QVV65643:QVW65647 RFR65643:RFS65647 RPN65643:RPO65647 RZJ65643:RZK65647 SJF65643:SJG65647 STB65643:STC65647 TCX65643:TCY65647 TMT65643:TMU65647 TWP65643:TWQ65647 UGL65643:UGM65647 UQH65643:UQI65647 VAD65643:VAE65647 VJZ65643:VKA65647 VTV65643:VTW65647 WDR65643:WDS65647 WNN65643:WNO65647 WXJ65643:WXK65647 BB131179:BC131183 KX131179:KY131183 UT131179:UU131183 AEP131179:AEQ131183 AOL131179:AOM131183 AYH131179:AYI131183 BID131179:BIE131183 BRZ131179:BSA131183 CBV131179:CBW131183 CLR131179:CLS131183 CVN131179:CVO131183 DFJ131179:DFK131183 DPF131179:DPG131183 DZB131179:DZC131183 EIX131179:EIY131183 EST131179:ESU131183 FCP131179:FCQ131183 FML131179:FMM131183 FWH131179:FWI131183 GGD131179:GGE131183 GPZ131179:GQA131183 GZV131179:GZW131183 HJR131179:HJS131183 HTN131179:HTO131183 IDJ131179:IDK131183 INF131179:ING131183 IXB131179:IXC131183 JGX131179:JGY131183 JQT131179:JQU131183 KAP131179:KAQ131183 KKL131179:KKM131183 KUH131179:KUI131183 LED131179:LEE131183 LNZ131179:LOA131183 LXV131179:LXW131183 MHR131179:MHS131183 MRN131179:MRO131183 NBJ131179:NBK131183 NLF131179:NLG131183 NVB131179:NVC131183 OEX131179:OEY131183 OOT131179:OOU131183 OYP131179:OYQ131183 PIL131179:PIM131183 PSH131179:PSI131183 QCD131179:QCE131183 QLZ131179:QMA131183 QVV131179:QVW131183 RFR131179:RFS131183 RPN131179:RPO131183 RZJ131179:RZK131183 SJF131179:SJG131183 STB131179:STC131183 TCX131179:TCY131183 TMT131179:TMU131183 TWP131179:TWQ131183 UGL131179:UGM131183 UQH131179:UQI131183 VAD131179:VAE131183 VJZ131179:VKA131183 VTV131179:VTW131183 WDR131179:WDS131183 WNN131179:WNO131183 WXJ131179:WXK131183 BB196715:BC196719 KX196715:KY196719 UT196715:UU196719 AEP196715:AEQ196719 AOL196715:AOM196719 AYH196715:AYI196719 BID196715:BIE196719 BRZ196715:BSA196719 CBV196715:CBW196719 CLR196715:CLS196719 CVN196715:CVO196719 DFJ196715:DFK196719 DPF196715:DPG196719 DZB196715:DZC196719 EIX196715:EIY196719 EST196715:ESU196719 FCP196715:FCQ196719 FML196715:FMM196719 FWH196715:FWI196719 GGD196715:GGE196719 GPZ196715:GQA196719 GZV196715:GZW196719 HJR196715:HJS196719 HTN196715:HTO196719 IDJ196715:IDK196719 INF196715:ING196719 IXB196715:IXC196719 JGX196715:JGY196719 JQT196715:JQU196719 KAP196715:KAQ196719 KKL196715:KKM196719 KUH196715:KUI196719 LED196715:LEE196719 LNZ196715:LOA196719 LXV196715:LXW196719 MHR196715:MHS196719 MRN196715:MRO196719 NBJ196715:NBK196719 NLF196715:NLG196719 NVB196715:NVC196719 OEX196715:OEY196719 OOT196715:OOU196719 OYP196715:OYQ196719 PIL196715:PIM196719 PSH196715:PSI196719 QCD196715:QCE196719 QLZ196715:QMA196719 QVV196715:QVW196719 RFR196715:RFS196719 RPN196715:RPO196719 RZJ196715:RZK196719 SJF196715:SJG196719 STB196715:STC196719 TCX196715:TCY196719 TMT196715:TMU196719 TWP196715:TWQ196719 UGL196715:UGM196719 UQH196715:UQI196719 VAD196715:VAE196719 VJZ196715:VKA196719 VTV196715:VTW196719 WDR196715:WDS196719 WNN196715:WNO196719 WXJ196715:WXK196719 BB262251:BC262255 KX262251:KY262255 UT262251:UU262255 AEP262251:AEQ262255 AOL262251:AOM262255 AYH262251:AYI262255 BID262251:BIE262255 BRZ262251:BSA262255 CBV262251:CBW262255 CLR262251:CLS262255 CVN262251:CVO262255 DFJ262251:DFK262255 DPF262251:DPG262255 DZB262251:DZC262255 EIX262251:EIY262255 EST262251:ESU262255 FCP262251:FCQ262255 FML262251:FMM262255 FWH262251:FWI262255 GGD262251:GGE262255 GPZ262251:GQA262255 GZV262251:GZW262255 HJR262251:HJS262255 HTN262251:HTO262255 IDJ262251:IDK262255 INF262251:ING262255 IXB262251:IXC262255 JGX262251:JGY262255 JQT262251:JQU262255 KAP262251:KAQ262255 KKL262251:KKM262255 KUH262251:KUI262255 LED262251:LEE262255 LNZ262251:LOA262255 LXV262251:LXW262255 MHR262251:MHS262255 MRN262251:MRO262255 NBJ262251:NBK262255 NLF262251:NLG262255 NVB262251:NVC262255 OEX262251:OEY262255 OOT262251:OOU262255 OYP262251:OYQ262255 PIL262251:PIM262255 PSH262251:PSI262255 QCD262251:QCE262255 QLZ262251:QMA262255 QVV262251:QVW262255 RFR262251:RFS262255 RPN262251:RPO262255 RZJ262251:RZK262255 SJF262251:SJG262255 STB262251:STC262255 TCX262251:TCY262255 TMT262251:TMU262255 TWP262251:TWQ262255 UGL262251:UGM262255 UQH262251:UQI262255 VAD262251:VAE262255 VJZ262251:VKA262255 VTV262251:VTW262255 WDR262251:WDS262255 WNN262251:WNO262255 WXJ262251:WXK262255 BB327787:BC327791 KX327787:KY327791 UT327787:UU327791 AEP327787:AEQ327791 AOL327787:AOM327791 AYH327787:AYI327791 BID327787:BIE327791 BRZ327787:BSA327791 CBV327787:CBW327791 CLR327787:CLS327791 CVN327787:CVO327791 DFJ327787:DFK327791 DPF327787:DPG327791 DZB327787:DZC327791 EIX327787:EIY327791 EST327787:ESU327791 FCP327787:FCQ327791 FML327787:FMM327791 FWH327787:FWI327791 GGD327787:GGE327791 GPZ327787:GQA327791 GZV327787:GZW327791 HJR327787:HJS327791 HTN327787:HTO327791 IDJ327787:IDK327791 INF327787:ING327791 IXB327787:IXC327791 JGX327787:JGY327791 JQT327787:JQU327791 KAP327787:KAQ327791 KKL327787:KKM327791 KUH327787:KUI327791 LED327787:LEE327791 LNZ327787:LOA327791 LXV327787:LXW327791 MHR327787:MHS327791 MRN327787:MRO327791 NBJ327787:NBK327791 NLF327787:NLG327791 NVB327787:NVC327791 OEX327787:OEY327791 OOT327787:OOU327791 OYP327787:OYQ327791 PIL327787:PIM327791 PSH327787:PSI327791 QCD327787:QCE327791 QLZ327787:QMA327791 QVV327787:QVW327791 RFR327787:RFS327791 RPN327787:RPO327791 RZJ327787:RZK327791 SJF327787:SJG327791 STB327787:STC327791 TCX327787:TCY327791 TMT327787:TMU327791 TWP327787:TWQ327791 UGL327787:UGM327791 UQH327787:UQI327791 VAD327787:VAE327791 VJZ327787:VKA327791 VTV327787:VTW327791 WDR327787:WDS327791 WNN327787:WNO327791 WXJ327787:WXK327791 BB393323:BC393327 KX393323:KY393327 UT393323:UU393327 AEP393323:AEQ393327 AOL393323:AOM393327 AYH393323:AYI393327 BID393323:BIE393327 BRZ393323:BSA393327 CBV393323:CBW393327 CLR393323:CLS393327 CVN393323:CVO393327 DFJ393323:DFK393327 DPF393323:DPG393327 DZB393323:DZC393327 EIX393323:EIY393327 EST393323:ESU393327 FCP393323:FCQ393327 FML393323:FMM393327 FWH393323:FWI393327 GGD393323:GGE393327 GPZ393323:GQA393327 GZV393323:GZW393327 HJR393323:HJS393327 HTN393323:HTO393327 IDJ393323:IDK393327 INF393323:ING393327 IXB393323:IXC393327 JGX393323:JGY393327 JQT393323:JQU393327 KAP393323:KAQ393327 KKL393323:KKM393327 KUH393323:KUI393327 LED393323:LEE393327 LNZ393323:LOA393327 LXV393323:LXW393327 MHR393323:MHS393327 MRN393323:MRO393327 NBJ393323:NBK393327 NLF393323:NLG393327 NVB393323:NVC393327 OEX393323:OEY393327 OOT393323:OOU393327 OYP393323:OYQ393327 PIL393323:PIM393327 PSH393323:PSI393327 QCD393323:QCE393327 QLZ393323:QMA393327 QVV393323:QVW393327 RFR393323:RFS393327 RPN393323:RPO393327 RZJ393323:RZK393327 SJF393323:SJG393327 STB393323:STC393327 TCX393323:TCY393327 TMT393323:TMU393327 TWP393323:TWQ393327 UGL393323:UGM393327 UQH393323:UQI393327 VAD393323:VAE393327 VJZ393323:VKA393327 VTV393323:VTW393327 WDR393323:WDS393327 WNN393323:WNO393327 WXJ393323:WXK393327 BB458859:BC458863 KX458859:KY458863 UT458859:UU458863 AEP458859:AEQ458863 AOL458859:AOM458863 AYH458859:AYI458863 BID458859:BIE458863 BRZ458859:BSA458863 CBV458859:CBW458863 CLR458859:CLS458863 CVN458859:CVO458863 DFJ458859:DFK458863 DPF458859:DPG458863 DZB458859:DZC458863 EIX458859:EIY458863 EST458859:ESU458863 FCP458859:FCQ458863 FML458859:FMM458863 FWH458859:FWI458863 GGD458859:GGE458863 GPZ458859:GQA458863 GZV458859:GZW458863 HJR458859:HJS458863 HTN458859:HTO458863 IDJ458859:IDK458863 INF458859:ING458863 IXB458859:IXC458863 JGX458859:JGY458863 JQT458859:JQU458863 KAP458859:KAQ458863 KKL458859:KKM458863 KUH458859:KUI458863 LED458859:LEE458863 LNZ458859:LOA458863 LXV458859:LXW458863 MHR458859:MHS458863 MRN458859:MRO458863 NBJ458859:NBK458863 NLF458859:NLG458863 NVB458859:NVC458863 OEX458859:OEY458863 OOT458859:OOU458863 OYP458859:OYQ458863 PIL458859:PIM458863 PSH458859:PSI458863 QCD458859:QCE458863 QLZ458859:QMA458863 QVV458859:QVW458863 RFR458859:RFS458863 RPN458859:RPO458863 RZJ458859:RZK458863 SJF458859:SJG458863 STB458859:STC458863 TCX458859:TCY458863 TMT458859:TMU458863 TWP458859:TWQ458863 UGL458859:UGM458863 UQH458859:UQI458863 VAD458859:VAE458863 VJZ458859:VKA458863 VTV458859:VTW458863 WDR458859:WDS458863 WNN458859:WNO458863 WXJ458859:WXK458863 BB524395:BC524399 KX524395:KY524399 UT524395:UU524399 AEP524395:AEQ524399 AOL524395:AOM524399 AYH524395:AYI524399 BID524395:BIE524399 BRZ524395:BSA524399 CBV524395:CBW524399 CLR524395:CLS524399 CVN524395:CVO524399 DFJ524395:DFK524399 DPF524395:DPG524399 DZB524395:DZC524399 EIX524395:EIY524399 EST524395:ESU524399 FCP524395:FCQ524399 FML524395:FMM524399 FWH524395:FWI524399 GGD524395:GGE524399 GPZ524395:GQA524399 GZV524395:GZW524399 HJR524395:HJS524399 HTN524395:HTO524399 IDJ524395:IDK524399 INF524395:ING524399 IXB524395:IXC524399 JGX524395:JGY524399 JQT524395:JQU524399 KAP524395:KAQ524399 KKL524395:KKM524399 KUH524395:KUI524399 LED524395:LEE524399 LNZ524395:LOA524399 LXV524395:LXW524399 MHR524395:MHS524399 MRN524395:MRO524399 NBJ524395:NBK524399 NLF524395:NLG524399 NVB524395:NVC524399 OEX524395:OEY524399 OOT524395:OOU524399 OYP524395:OYQ524399 PIL524395:PIM524399 PSH524395:PSI524399 QCD524395:QCE524399 QLZ524395:QMA524399 QVV524395:QVW524399 RFR524395:RFS524399 RPN524395:RPO524399 RZJ524395:RZK524399 SJF524395:SJG524399 STB524395:STC524399 TCX524395:TCY524399 TMT524395:TMU524399 TWP524395:TWQ524399 UGL524395:UGM524399 UQH524395:UQI524399 VAD524395:VAE524399 VJZ524395:VKA524399 VTV524395:VTW524399 WDR524395:WDS524399 WNN524395:WNO524399 WXJ524395:WXK524399 BB589931:BC589935 KX589931:KY589935 UT589931:UU589935 AEP589931:AEQ589935 AOL589931:AOM589935 AYH589931:AYI589935 BID589931:BIE589935 BRZ589931:BSA589935 CBV589931:CBW589935 CLR589931:CLS589935 CVN589931:CVO589935 DFJ589931:DFK589935 DPF589931:DPG589935 DZB589931:DZC589935 EIX589931:EIY589935 EST589931:ESU589935 FCP589931:FCQ589935 FML589931:FMM589935 FWH589931:FWI589935 GGD589931:GGE589935 GPZ589931:GQA589935 GZV589931:GZW589935 HJR589931:HJS589935 HTN589931:HTO589935 IDJ589931:IDK589935 INF589931:ING589935 IXB589931:IXC589935 JGX589931:JGY589935 JQT589931:JQU589935 KAP589931:KAQ589935 KKL589931:KKM589935 KUH589931:KUI589935 LED589931:LEE589935 LNZ589931:LOA589935 LXV589931:LXW589935 MHR589931:MHS589935 MRN589931:MRO589935 NBJ589931:NBK589935 NLF589931:NLG589935 NVB589931:NVC589935 OEX589931:OEY589935 OOT589931:OOU589935 OYP589931:OYQ589935 PIL589931:PIM589935 PSH589931:PSI589935 QCD589931:QCE589935 QLZ589931:QMA589935 QVV589931:QVW589935 RFR589931:RFS589935 RPN589931:RPO589935 RZJ589931:RZK589935 SJF589931:SJG589935 STB589931:STC589935 TCX589931:TCY589935 TMT589931:TMU589935 TWP589931:TWQ589935 UGL589931:UGM589935 UQH589931:UQI589935 VAD589931:VAE589935 VJZ589931:VKA589935 VTV589931:VTW589935 WDR589931:WDS589935 WNN589931:WNO589935 WXJ589931:WXK589935 BB655467:BC655471 KX655467:KY655471 UT655467:UU655471 AEP655467:AEQ655471 AOL655467:AOM655471 AYH655467:AYI655471 BID655467:BIE655471 BRZ655467:BSA655471 CBV655467:CBW655471 CLR655467:CLS655471 CVN655467:CVO655471 DFJ655467:DFK655471 DPF655467:DPG655471 DZB655467:DZC655471 EIX655467:EIY655471 EST655467:ESU655471 FCP655467:FCQ655471 FML655467:FMM655471 FWH655467:FWI655471 GGD655467:GGE655471 GPZ655467:GQA655471 GZV655467:GZW655471 HJR655467:HJS655471 HTN655467:HTO655471 IDJ655467:IDK655471 INF655467:ING655471 IXB655467:IXC655471 JGX655467:JGY655471 JQT655467:JQU655471 KAP655467:KAQ655471 KKL655467:KKM655471 KUH655467:KUI655471 LED655467:LEE655471 LNZ655467:LOA655471 LXV655467:LXW655471 MHR655467:MHS655471 MRN655467:MRO655471 NBJ655467:NBK655471 NLF655467:NLG655471 NVB655467:NVC655471 OEX655467:OEY655471 OOT655467:OOU655471 OYP655467:OYQ655471 PIL655467:PIM655471 PSH655467:PSI655471 QCD655467:QCE655471 QLZ655467:QMA655471 QVV655467:QVW655471 RFR655467:RFS655471 RPN655467:RPO655471 RZJ655467:RZK655471 SJF655467:SJG655471 STB655467:STC655471 TCX655467:TCY655471 TMT655467:TMU655471 TWP655467:TWQ655471 UGL655467:UGM655471 UQH655467:UQI655471 VAD655467:VAE655471 VJZ655467:VKA655471 VTV655467:VTW655471 WDR655467:WDS655471 WNN655467:WNO655471 WXJ655467:WXK655471 BB721003:BC721007 KX721003:KY721007 UT721003:UU721007 AEP721003:AEQ721007 AOL721003:AOM721007 AYH721003:AYI721007 BID721003:BIE721007 BRZ721003:BSA721007 CBV721003:CBW721007 CLR721003:CLS721007 CVN721003:CVO721007 DFJ721003:DFK721007 DPF721003:DPG721007 DZB721003:DZC721007 EIX721003:EIY721007 EST721003:ESU721007 FCP721003:FCQ721007 FML721003:FMM721007 FWH721003:FWI721007 GGD721003:GGE721007 GPZ721003:GQA721007 GZV721003:GZW721007 HJR721003:HJS721007 HTN721003:HTO721007 IDJ721003:IDK721007 INF721003:ING721007 IXB721003:IXC721007 JGX721003:JGY721007 JQT721003:JQU721007 KAP721003:KAQ721007 KKL721003:KKM721007 KUH721003:KUI721007 LED721003:LEE721007 LNZ721003:LOA721007 LXV721003:LXW721007 MHR721003:MHS721007 MRN721003:MRO721007 NBJ721003:NBK721007 NLF721003:NLG721007 NVB721003:NVC721007 OEX721003:OEY721007 OOT721003:OOU721007 OYP721003:OYQ721007 PIL721003:PIM721007 PSH721003:PSI721007 QCD721003:QCE721007 QLZ721003:QMA721007 QVV721003:QVW721007 RFR721003:RFS721007 RPN721003:RPO721007 RZJ721003:RZK721007 SJF721003:SJG721007 STB721003:STC721007 TCX721003:TCY721007 TMT721003:TMU721007 TWP721003:TWQ721007 UGL721003:UGM721007 UQH721003:UQI721007 VAD721003:VAE721007 VJZ721003:VKA721007 VTV721003:VTW721007 WDR721003:WDS721007 WNN721003:WNO721007 WXJ721003:WXK721007 BB786539:BC786543 KX786539:KY786543 UT786539:UU786543 AEP786539:AEQ786543 AOL786539:AOM786543 AYH786539:AYI786543 BID786539:BIE786543 BRZ786539:BSA786543 CBV786539:CBW786543 CLR786539:CLS786543 CVN786539:CVO786543 DFJ786539:DFK786543 DPF786539:DPG786543 DZB786539:DZC786543 EIX786539:EIY786543 EST786539:ESU786543 FCP786539:FCQ786543 FML786539:FMM786543 FWH786539:FWI786543 GGD786539:GGE786543 GPZ786539:GQA786543 GZV786539:GZW786543 HJR786539:HJS786543 HTN786539:HTO786543 IDJ786539:IDK786543 INF786539:ING786543 IXB786539:IXC786543 JGX786539:JGY786543 JQT786539:JQU786543 KAP786539:KAQ786543 KKL786539:KKM786543 KUH786539:KUI786543 LED786539:LEE786543 LNZ786539:LOA786543 LXV786539:LXW786543 MHR786539:MHS786543 MRN786539:MRO786543 NBJ786539:NBK786543 NLF786539:NLG786543 NVB786539:NVC786543 OEX786539:OEY786543 OOT786539:OOU786543 OYP786539:OYQ786543 PIL786539:PIM786543 PSH786539:PSI786543 QCD786539:QCE786543 QLZ786539:QMA786543 QVV786539:QVW786543 RFR786539:RFS786543 RPN786539:RPO786543 RZJ786539:RZK786543 SJF786539:SJG786543 STB786539:STC786543 TCX786539:TCY786543 TMT786539:TMU786543 TWP786539:TWQ786543 UGL786539:UGM786543 UQH786539:UQI786543 VAD786539:VAE786543 VJZ786539:VKA786543 VTV786539:VTW786543 WDR786539:WDS786543 WNN786539:WNO786543 WXJ786539:WXK786543 BB852075:BC852079 KX852075:KY852079 UT852075:UU852079 AEP852075:AEQ852079 AOL852075:AOM852079 AYH852075:AYI852079 BID852075:BIE852079 BRZ852075:BSA852079 CBV852075:CBW852079 CLR852075:CLS852079 CVN852075:CVO852079 DFJ852075:DFK852079 DPF852075:DPG852079 DZB852075:DZC852079 EIX852075:EIY852079 EST852075:ESU852079 FCP852075:FCQ852079 FML852075:FMM852079 FWH852075:FWI852079 GGD852075:GGE852079 GPZ852075:GQA852079 GZV852075:GZW852079 HJR852075:HJS852079 HTN852075:HTO852079 IDJ852075:IDK852079 INF852075:ING852079 IXB852075:IXC852079 JGX852075:JGY852079 JQT852075:JQU852079 KAP852075:KAQ852079 KKL852075:KKM852079 KUH852075:KUI852079 LED852075:LEE852079 LNZ852075:LOA852079 LXV852075:LXW852079 MHR852075:MHS852079 MRN852075:MRO852079 NBJ852075:NBK852079 NLF852075:NLG852079 NVB852075:NVC852079 OEX852075:OEY852079 OOT852075:OOU852079 OYP852075:OYQ852079 PIL852075:PIM852079 PSH852075:PSI852079 QCD852075:QCE852079 QLZ852075:QMA852079 QVV852075:QVW852079 RFR852075:RFS852079 RPN852075:RPO852079 RZJ852075:RZK852079 SJF852075:SJG852079 STB852075:STC852079 TCX852075:TCY852079 TMT852075:TMU852079 TWP852075:TWQ852079 UGL852075:UGM852079 UQH852075:UQI852079 VAD852075:VAE852079 VJZ852075:VKA852079 VTV852075:VTW852079 WDR852075:WDS852079 WNN852075:WNO852079 WXJ852075:WXK852079 BB917611:BC917615 KX917611:KY917615 UT917611:UU917615 AEP917611:AEQ917615 AOL917611:AOM917615 AYH917611:AYI917615 BID917611:BIE917615 BRZ917611:BSA917615 CBV917611:CBW917615 CLR917611:CLS917615 CVN917611:CVO917615 DFJ917611:DFK917615 DPF917611:DPG917615 DZB917611:DZC917615 EIX917611:EIY917615 EST917611:ESU917615 FCP917611:FCQ917615 FML917611:FMM917615 FWH917611:FWI917615 GGD917611:GGE917615 GPZ917611:GQA917615 GZV917611:GZW917615 HJR917611:HJS917615 HTN917611:HTO917615 IDJ917611:IDK917615 INF917611:ING917615 IXB917611:IXC917615 JGX917611:JGY917615 JQT917611:JQU917615 KAP917611:KAQ917615 KKL917611:KKM917615 KUH917611:KUI917615 LED917611:LEE917615 LNZ917611:LOA917615 LXV917611:LXW917615 MHR917611:MHS917615 MRN917611:MRO917615 NBJ917611:NBK917615 NLF917611:NLG917615 NVB917611:NVC917615 OEX917611:OEY917615 OOT917611:OOU917615 OYP917611:OYQ917615 PIL917611:PIM917615 PSH917611:PSI917615 QCD917611:QCE917615 QLZ917611:QMA917615 QVV917611:QVW917615 RFR917611:RFS917615 RPN917611:RPO917615 RZJ917611:RZK917615 SJF917611:SJG917615 STB917611:STC917615 TCX917611:TCY917615 TMT917611:TMU917615 TWP917611:TWQ917615 UGL917611:UGM917615 UQH917611:UQI917615 VAD917611:VAE917615 VJZ917611:VKA917615 VTV917611:VTW917615 WDR917611:WDS917615 WNN917611:WNO917615 WXJ917611:WXK917615 BB983147:BC983151 KX983147:KY983151 UT983147:UU983151 AEP983147:AEQ983151 AOL983147:AOM983151 AYH983147:AYI983151 BID983147:BIE983151 BRZ983147:BSA983151 CBV983147:CBW983151 CLR983147:CLS983151 CVN983147:CVO983151 DFJ983147:DFK983151 DPF983147:DPG983151 DZB983147:DZC983151 EIX983147:EIY983151 EST983147:ESU983151 FCP983147:FCQ983151 FML983147:FMM983151 FWH983147:FWI983151 GGD983147:GGE983151 GPZ983147:GQA983151 GZV983147:GZW983151 HJR983147:HJS983151 HTN983147:HTO983151 IDJ983147:IDK983151 INF983147:ING983151 IXB983147:IXC983151 JGX983147:JGY983151 JQT983147:JQU983151 KAP983147:KAQ983151 KKL983147:KKM983151 KUH983147:KUI983151 LED983147:LEE983151 LNZ983147:LOA983151 LXV983147:LXW983151 MHR983147:MHS983151 MRN983147:MRO983151 NBJ983147:NBK983151 NLF983147:NLG983151 NVB983147:NVC983151 OEX983147:OEY983151 OOT983147:OOU983151 OYP983147:OYQ983151 PIL983147:PIM983151 PSH983147:PSI983151 QCD983147:QCE983151 QLZ983147:QMA983151 QVV983147:QVW983151 RFR983147:RFS983151 RPN983147:RPO983151 RZJ983147:RZK983151 SJF983147:SJG983151 STB983147:STC983151 TCX983147:TCY983151 TMT983147:TMU983151 TWP983147:TWQ983151 UGL983147:UGM983151 UQH983147:UQI983151 VAD983147:VAE983151 VJZ983147:VKA983151 VTV983147:VTW983151 WDR983147:WDS983151 WNN983147:WNO983151 WXJ983147:WXK983151 T80 JP80 TL80 ADH80 AND80 AWZ80 BGV80 BQR80 CAN80 CKJ80 CUF80 DEB80 DNX80 DXT80 EHP80 ERL80 FBH80 FLD80 FUZ80 GEV80 GOR80 GYN80 HIJ80 HSF80 ICB80 ILX80 IVT80 JFP80 JPL80 JZH80 KJD80 KSZ80 LCV80 LMR80 LWN80 MGJ80 MQF80 NAB80 NJX80 NTT80 ODP80 ONL80 OXH80 PHD80 PQZ80 QAV80 QKR80 QUN80 REJ80 ROF80 RYB80 SHX80 SRT80 TBP80 TLL80 TVH80 UFD80 UOZ80 UYV80 VIR80 VSN80 WCJ80 WMF80 WWB80 T65616 JP65616 TL65616 ADH65616 AND65616 AWZ65616 BGV65616 BQR65616 CAN65616 CKJ65616 CUF65616 DEB65616 DNX65616 DXT65616 EHP65616 ERL65616 FBH65616 FLD65616 FUZ65616 GEV65616 GOR65616 GYN65616 HIJ65616 HSF65616 ICB65616 ILX65616 IVT65616 JFP65616 JPL65616 JZH65616 KJD65616 KSZ65616 LCV65616 LMR65616 LWN65616 MGJ65616 MQF65616 NAB65616 NJX65616 NTT65616 ODP65616 ONL65616 OXH65616 PHD65616 PQZ65616 QAV65616 QKR65616 QUN65616 REJ65616 ROF65616 RYB65616 SHX65616 SRT65616 TBP65616 TLL65616 TVH65616 UFD65616 UOZ65616 UYV65616 VIR65616 VSN65616 WCJ65616 WMF65616 WWB65616 T131152 JP131152 TL131152 ADH131152 AND131152 AWZ131152 BGV131152 BQR131152 CAN131152 CKJ131152 CUF131152 DEB131152 DNX131152 DXT131152 EHP131152 ERL131152 FBH131152 FLD131152 FUZ131152 GEV131152 GOR131152 GYN131152 HIJ131152 HSF131152 ICB131152 ILX131152 IVT131152 JFP131152 JPL131152 JZH131152 KJD131152 KSZ131152 LCV131152 LMR131152 LWN131152 MGJ131152 MQF131152 NAB131152 NJX131152 NTT131152 ODP131152 ONL131152 OXH131152 PHD131152 PQZ131152 QAV131152 QKR131152 QUN131152 REJ131152 ROF131152 RYB131152 SHX131152 SRT131152 TBP131152 TLL131152 TVH131152 UFD131152 UOZ131152 UYV131152 VIR131152 VSN131152 WCJ131152 WMF131152 WWB131152 T196688 JP196688 TL196688 ADH196688 AND196688 AWZ196688 BGV196688 BQR196688 CAN196688 CKJ196688 CUF196688 DEB196688 DNX196688 DXT196688 EHP196688 ERL196688 FBH196688 FLD196688 FUZ196688 GEV196688 GOR196688 GYN196688 HIJ196688 HSF196688 ICB196688 ILX196688 IVT196688 JFP196688 JPL196688 JZH196688 KJD196688 KSZ196688 LCV196688 LMR196688 LWN196688 MGJ196688 MQF196688 NAB196688 NJX196688 NTT196688 ODP196688 ONL196688 OXH196688 PHD196688 PQZ196688 QAV196688 QKR196688 QUN196688 REJ196688 ROF196688 RYB196688 SHX196688 SRT196688 TBP196688 TLL196688 TVH196688 UFD196688 UOZ196688 UYV196688 VIR196688 VSN196688 WCJ196688 WMF196688 WWB196688 T262224 JP262224 TL262224 ADH262224 AND262224 AWZ262224 BGV262224 BQR262224 CAN262224 CKJ262224 CUF262224 DEB262224 DNX262224 DXT262224 EHP262224 ERL262224 FBH262224 FLD262224 FUZ262224 GEV262224 GOR262224 GYN262224 HIJ262224 HSF262224 ICB262224 ILX262224 IVT262224 JFP262224 JPL262224 JZH262224 KJD262224 KSZ262224 LCV262224 LMR262224 LWN262224 MGJ262224 MQF262224 NAB262224 NJX262224 NTT262224 ODP262224 ONL262224 OXH262224 PHD262224 PQZ262224 QAV262224 QKR262224 QUN262224 REJ262224 ROF262224 RYB262224 SHX262224 SRT262224 TBP262224 TLL262224 TVH262224 UFD262224 UOZ262224 UYV262224 VIR262224 VSN262224 WCJ262224 WMF262224 WWB262224 T327760 JP327760 TL327760 ADH327760 AND327760 AWZ327760 BGV327760 BQR327760 CAN327760 CKJ327760 CUF327760 DEB327760 DNX327760 DXT327760 EHP327760 ERL327760 FBH327760 FLD327760 FUZ327760 GEV327760 GOR327760 GYN327760 HIJ327760 HSF327760 ICB327760 ILX327760 IVT327760 JFP327760 JPL327760 JZH327760 KJD327760 KSZ327760 LCV327760 LMR327760 LWN327760 MGJ327760 MQF327760 NAB327760 NJX327760 NTT327760 ODP327760 ONL327760 OXH327760 PHD327760 PQZ327760 QAV327760 QKR327760 QUN327760 REJ327760 ROF327760 RYB327760 SHX327760 SRT327760 TBP327760 TLL327760 TVH327760 UFD327760 UOZ327760 UYV327760 VIR327760 VSN327760 WCJ327760 WMF327760 WWB327760 T393296 JP393296 TL393296 ADH393296 AND393296 AWZ393296 BGV393296 BQR393296 CAN393296 CKJ393296 CUF393296 DEB393296 DNX393296 DXT393296 EHP393296 ERL393296 FBH393296 FLD393296 FUZ393296 GEV393296 GOR393296 GYN393296 HIJ393296 HSF393296 ICB393296 ILX393296 IVT393296 JFP393296 JPL393296 JZH393296 KJD393296 KSZ393296 LCV393296 LMR393296 LWN393296 MGJ393296 MQF393296 NAB393296 NJX393296 NTT393296 ODP393296 ONL393296 OXH393296 PHD393296 PQZ393296 QAV393296 QKR393296 QUN393296 REJ393296 ROF393296 RYB393296 SHX393296 SRT393296 TBP393296 TLL393296 TVH393296 UFD393296 UOZ393296 UYV393296 VIR393296 VSN393296 WCJ393296 WMF393296 WWB393296 T458832 JP458832 TL458832 ADH458832 AND458832 AWZ458832 BGV458832 BQR458832 CAN458832 CKJ458832 CUF458832 DEB458832 DNX458832 DXT458832 EHP458832 ERL458832 FBH458832 FLD458832 FUZ458832 GEV458832 GOR458832 GYN458832 HIJ458832 HSF458832 ICB458832 ILX458832 IVT458832 JFP458832 JPL458832 JZH458832 KJD458832 KSZ458832 LCV458832 LMR458832 LWN458832 MGJ458832 MQF458832 NAB458832 NJX458832 NTT458832 ODP458832 ONL458832 OXH458832 PHD458832 PQZ458832 QAV458832 QKR458832 QUN458832 REJ458832 ROF458832 RYB458832 SHX458832 SRT458832 TBP458832 TLL458832 TVH458832 UFD458832 UOZ458832 UYV458832 VIR458832 VSN458832 WCJ458832 WMF458832 WWB458832 T524368 JP524368 TL524368 ADH524368 AND524368 AWZ524368 BGV524368 BQR524368 CAN524368 CKJ524368 CUF524368 DEB524368 DNX524368 DXT524368 EHP524368 ERL524368 FBH524368 FLD524368 FUZ524368 GEV524368 GOR524368 GYN524368 HIJ524368 HSF524368 ICB524368 ILX524368 IVT524368 JFP524368 JPL524368 JZH524368 KJD524368 KSZ524368 LCV524368 LMR524368 LWN524368 MGJ524368 MQF524368 NAB524368 NJX524368 NTT524368 ODP524368 ONL524368 OXH524368 PHD524368 PQZ524368 QAV524368 QKR524368 QUN524368 REJ524368 ROF524368 RYB524368 SHX524368 SRT524368 TBP524368 TLL524368 TVH524368 UFD524368 UOZ524368 UYV524368 VIR524368 VSN524368 WCJ524368 WMF524368 WWB524368 T589904 JP589904 TL589904 ADH589904 AND589904 AWZ589904 BGV589904 BQR589904 CAN589904 CKJ589904 CUF589904 DEB589904 DNX589904 DXT589904 EHP589904 ERL589904 FBH589904 FLD589904 FUZ589904 GEV589904 GOR589904 GYN589904 HIJ589904 HSF589904 ICB589904 ILX589904 IVT589904 JFP589904 JPL589904 JZH589904 KJD589904 KSZ589904 LCV589904 LMR589904 LWN589904 MGJ589904 MQF589904 NAB589904 NJX589904 NTT589904 ODP589904 ONL589904 OXH589904 PHD589904 PQZ589904 QAV589904 QKR589904 QUN589904 REJ589904 ROF589904 RYB589904 SHX589904 SRT589904 TBP589904 TLL589904 TVH589904 UFD589904 UOZ589904 UYV589904 VIR589904 VSN589904 WCJ589904 WMF589904 WWB589904 T655440 JP655440 TL655440 ADH655440 AND655440 AWZ655440 BGV655440 BQR655440 CAN655440 CKJ655440 CUF655440 DEB655440 DNX655440 DXT655440 EHP655440 ERL655440 FBH655440 FLD655440 FUZ655440 GEV655440 GOR655440 GYN655440 HIJ655440 HSF655440 ICB655440 ILX655440 IVT655440 JFP655440 JPL655440 JZH655440 KJD655440 KSZ655440 LCV655440 LMR655440 LWN655440 MGJ655440 MQF655440 NAB655440 NJX655440 NTT655440 ODP655440 ONL655440 OXH655440 PHD655440 PQZ655440 QAV655440 QKR655440 QUN655440 REJ655440 ROF655440 RYB655440 SHX655440 SRT655440 TBP655440 TLL655440 TVH655440 UFD655440 UOZ655440 UYV655440 VIR655440 VSN655440 WCJ655440 WMF655440 WWB655440 T720976 JP720976 TL720976 ADH720976 AND720976 AWZ720976 BGV720976 BQR720976 CAN720976 CKJ720976 CUF720976 DEB720976 DNX720976 DXT720976 EHP720976 ERL720976 FBH720976 FLD720976 FUZ720976 GEV720976 GOR720976 GYN720976 HIJ720976 HSF720976 ICB720976 ILX720976 IVT720976 JFP720976 JPL720976 JZH720976 KJD720976 KSZ720976 LCV720976 LMR720976 LWN720976 MGJ720976 MQF720976 NAB720976 NJX720976 NTT720976 ODP720976 ONL720976 OXH720976 PHD720976 PQZ720976 QAV720976 QKR720976 QUN720976 REJ720976 ROF720976 RYB720976 SHX720976 SRT720976 TBP720976 TLL720976 TVH720976 UFD720976 UOZ720976 UYV720976 VIR720976 VSN720976 WCJ720976 WMF720976 WWB720976 T786512 JP786512 TL786512 ADH786512 AND786512 AWZ786512 BGV786512 BQR786512 CAN786512 CKJ786512 CUF786512 DEB786512 DNX786512 DXT786512 EHP786512 ERL786512 FBH786512 FLD786512 FUZ786512 GEV786512 GOR786512 GYN786512 HIJ786512 HSF786512 ICB786512 ILX786512 IVT786512 JFP786512 JPL786512 JZH786512 KJD786512 KSZ786512 LCV786512 LMR786512 LWN786512 MGJ786512 MQF786512 NAB786512 NJX786512 NTT786512 ODP786512 ONL786512 OXH786512 PHD786512 PQZ786512 QAV786512 QKR786512 QUN786512 REJ786512 ROF786512 RYB786512 SHX786512 SRT786512 TBP786512 TLL786512 TVH786512 UFD786512 UOZ786512 UYV786512 VIR786512 VSN786512 WCJ786512 WMF786512 WWB786512 T852048 JP852048 TL852048 ADH852048 AND852048 AWZ852048 BGV852048 BQR852048 CAN852048 CKJ852048 CUF852048 DEB852048 DNX852048 DXT852048 EHP852048 ERL852048 FBH852048 FLD852048 FUZ852048 GEV852048 GOR852048 GYN852048 HIJ852048 HSF852048 ICB852048 ILX852048 IVT852048 JFP852048 JPL852048 JZH852048 KJD852048 KSZ852048 LCV852048 LMR852048 LWN852048 MGJ852048 MQF852048 NAB852048 NJX852048 NTT852048 ODP852048 ONL852048 OXH852048 PHD852048 PQZ852048 QAV852048 QKR852048 QUN852048 REJ852048 ROF852048 RYB852048 SHX852048 SRT852048 TBP852048 TLL852048 TVH852048 UFD852048 UOZ852048 UYV852048 VIR852048 VSN852048 WCJ852048 WMF852048 WWB852048 T917584 JP917584 TL917584 ADH917584 AND917584 AWZ917584 BGV917584 BQR917584 CAN917584 CKJ917584 CUF917584 DEB917584 DNX917584 DXT917584 EHP917584 ERL917584 FBH917584 FLD917584 FUZ917584 GEV917584 GOR917584 GYN917584 HIJ917584 HSF917584 ICB917584 ILX917584 IVT917584 JFP917584 JPL917584 JZH917584 KJD917584 KSZ917584 LCV917584 LMR917584 LWN917584 MGJ917584 MQF917584 NAB917584 NJX917584 NTT917584 ODP917584 ONL917584 OXH917584 PHD917584 PQZ917584 QAV917584 QKR917584 QUN917584 REJ917584 ROF917584 RYB917584 SHX917584 SRT917584 TBP917584 TLL917584 TVH917584 UFD917584 UOZ917584 UYV917584 VIR917584 VSN917584 WCJ917584 WMF917584 WWB917584 T983120 JP983120 TL983120 ADH983120 AND983120 AWZ983120 BGV983120 BQR983120 CAN983120 CKJ983120 CUF983120 DEB983120 DNX983120 DXT983120 EHP983120 ERL983120 FBH983120 FLD983120 FUZ983120 GEV983120 GOR983120 GYN983120 HIJ983120 HSF983120 ICB983120 ILX983120 IVT983120 JFP983120 JPL983120 JZH983120 KJD983120 KSZ983120 LCV983120 LMR983120 LWN983120 MGJ983120 MQF983120 NAB983120 NJX983120 NTT983120 ODP983120 ONL983120 OXH983120 PHD983120 PQZ983120 QAV983120 QKR983120 QUN983120 REJ983120 ROF983120 RYB983120 SHX983120 SRT983120 TBP983120 TLL983120 TVH983120 UFD983120 UOZ983120 UYV983120 VIR983120 VSN983120 WCJ983120 WMF983120 WWB983120 T77 JP77 TL77 ADH77 AND77 AWZ77 BGV77 BQR77 CAN77 CKJ77 CUF77 DEB77 DNX77 DXT77 EHP77 ERL77 FBH77 FLD77 FUZ77 GEV77 GOR77 GYN77 HIJ77 HSF77 ICB77 ILX77 IVT77 JFP77 JPL77 JZH77 KJD77 KSZ77 LCV77 LMR77 LWN77 MGJ77 MQF77 NAB77 NJX77 NTT77 ODP77 ONL77 OXH77 PHD77 PQZ77 QAV77 QKR77 QUN77 REJ77 ROF77 RYB77 SHX77 SRT77 TBP77 TLL77 TVH77 UFD77 UOZ77 UYV77 VIR77 VSN77 WCJ77 WMF77 WWB77 T65613 JP65613 TL65613 ADH65613 AND65613 AWZ65613 BGV65613 BQR65613 CAN65613 CKJ65613 CUF65613 DEB65613 DNX65613 DXT65613 EHP65613 ERL65613 FBH65613 FLD65613 FUZ65613 GEV65613 GOR65613 GYN65613 HIJ65613 HSF65613 ICB65613 ILX65613 IVT65613 JFP65613 JPL65613 JZH65613 KJD65613 KSZ65613 LCV65613 LMR65613 LWN65613 MGJ65613 MQF65613 NAB65613 NJX65613 NTT65613 ODP65613 ONL65613 OXH65613 PHD65613 PQZ65613 QAV65613 QKR65613 QUN65613 REJ65613 ROF65613 RYB65613 SHX65613 SRT65613 TBP65613 TLL65613 TVH65613 UFD65613 UOZ65613 UYV65613 VIR65613 VSN65613 WCJ65613 WMF65613 WWB65613 T131149 JP131149 TL131149 ADH131149 AND131149 AWZ131149 BGV131149 BQR131149 CAN131149 CKJ131149 CUF131149 DEB131149 DNX131149 DXT131149 EHP131149 ERL131149 FBH131149 FLD131149 FUZ131149 GEV131149 GOR131149 GYN131149 HIJ131149 HSF131149 ICB131149 ILX131149 IVT131149 JFP131149 JPL131149 JZH131149 KJD131149 KSZ131149 LCV131149 LMR131149 LWN131149 MGJ131149 MQF131149 NAB131149 NJX131149 NTT131149 ODP131149 ONL131149 OXH131149 PHD131149 PQZ131149 QAV131149 QKR131149 QUN131149 REJ131149 ROF131149 RYB131149 SHX131149 SRT131149 TBP131149 TLL131149 TVH131149 UFD131149 UOZ131149 UYV131149 VIR131149 VSN131149 WCJ131149 WMF131149 WWB131149 T196685 JP196685 TL196685 ADH196685 AND196685 AWZ196685 BGV196685 BQR196685 CAN196685 CKJ196685 CUF196685 DEB196685 DNX196685 DXT196685 EHP196685 ERL196685 FBH196685 FLD196685 FUZ196685 GEV196685 GOR196685 GYN196685 HIJ196685 HSF196685 ICB196685 ILX196685 IVT196685 JFP196685 JPL196685 JZH196685 KJD196685 KSZ196685 LCV196685 LMR196685 LWN196685 MGJ196685 MQF196685 NAB196685 NJX196685 NTT196685 ODP196685 ONL196685 OXH196685 PHD196685 PQZ196685 QAV196685 QKR196685 QUN196685 REJ196685 ROF196685 RYB196685 SHX196685 SRT196685 TBP196685 TLL196685 TVH196685 UFD196685 UOZ196685 UYV196685 VIR196685 VSN196685 WCJ196685 WMF196685 WWB196685 T262221 JP262221 TL262221 ADH262221 AND262221 AWZ262221 BGV262221 BQR262221 CAN262221 CKJ262221 CUF262221 DEB262221 DNX262221 DXT262221 EHP262221 ERL262221 FBH262221 FLD262221 FUZ262221 GEV262221 GOR262221 GYN262221 HIJ262221 HSF262221 ICB262221 ILX262221 IVT262221 JFP262221 JPL262221 JZH262221 KJD262221 KSZ262221 LCV262221 LMR262221 LWN262221 MGJ262221 MQF262221 NAB262221 NJX262221 NTT262221 ODP262221 ONL262221 OXH262221 PHD262221 PQZ262221 QAV262221 QKR262221 QUN262221 REJ262221 ROF262221 RYB262221 SHX262221 SRT262221 TBP262221 TLL262221 TVH262221 UFD262221 UOZ262221 UYV262221 VIR262221 VSN262221 WCJ262221 WMF262221 WWB262221 T327757 JP327757 TL327757 ADH327757 AND327757 AWZ327757 BGV327757 BQR327757 CAN327757 CKJ327757 CUF327757 DEB327757 DNX327757 DXT327757 EHP327757 ERL327757 FBH327757 FLD327757 FUZ327757 GEV327757 GOR327757 GYN327757 HIJ327757 HSF327757 ICB327757 ILX327757 IVT327757 JFP327757 JPL327757 JZH327757 KJD327757 KSZ327757 LCV327757 LMR327757 LWN327757 MGJ327757 MQF327757 NAB327757 NJX327757 NTT327757 ODP327757 ONL327757 OXH327757 PHD327757 PQZ327757 QAV327757 QKR327757 QUN327757 REJ327757 ROF327757 RYB327757 SHX327757 SRT327757 TBP327757 TLL327757 TVH327757 UFD327757 UOZ327757 UYV327757 VIR327757 VSN327757 WCJ327757 WMF327757 WWB327757 T393293 JP393293 TL393293 ADH393293 AND393293 AWZ393293 BGV393293 BQR393293 CAN393293 CKJ393293 CUF393293 DEB393293 DNX393293 DXT393293 EHP393293 ERL393293 FBH393293 FLD393293 FUZ393293 GEV393293 GOR393293 GYN393293 HIJ393293 HSF393293 ICB393293 ILX393293 IVT393293 JFP393293 JPL393293 JZH393293 KJD393293 KSZ393293 LCV393293 LMR393293 LWN393293 MGJ393293 MQF393293 NAB393293 NJX393293 NTT393293 ODP393293 ONL393293 OXH393293 PHD393293 PQZ393293 QAV393293 QKR393293 QUN393293 REJ393293 ROF393293 RYB393293 SHX393293 SRT393293 TBP393293 TLL393293 TVH393293 UFD393293 UOZ393293 UYV393293 VIR393293 VSN393293 WCJ393293 WMF393293 WWB393293 T458829 JP458829 TL458829 ADH458829 AND458829 AWZ458829 BGV458829 BQR458829 CAN458829 CKJ458829 CUF458829 DEB458829 DNX458829 DXT458829 EHP458829 ERL458829 FBH458829 FLD458829 FUZ458829 GEV458829 GOR458829 GYN458829 HIJ458829 HSF458829 ICB458829 ILX458829 IVT458829 JFP458829 JPL458829 JZH458829 KJD458829 KSZ458829 LCV458829 LMR458829 LWN458829 MGJ458829 MQF458829 NAB458829 NJX458829 NTT458829 ODP458829 ONL458829 OXH458829 PHD458829 PQZ458829 QAV458829 QKR458829 QUN458829 REJ458829 ROF458829 RYB458829 SHX458829 SRT458829 TBP458829 TLL458829 TVH458829 UFD458829 UOZ458829 UYV458829 VIR458829 VSN458829 WCJ458829 WMF458829 WWB458829 T524365 JP524365 TL524365 ADH524365 AND524365 AWZ524365 BGV524365 BQR524365 CAN524365 CKJ524365 CUF524365 DEB524365 DNX524365 DXT524365 EHP524365 ERL524365 FBH524365 FLD524365 FUZ524365 GEV524365 GOR524365 GYN524365 HIJ524365 HSF524365 ICB524365 ILX524365 IVT524365 JFP524365 JPL524365 JZH524365 KJD524365 KSZ524365 LCV524365 LMR524365 LWN524365 MGJ524365 MQF524365 NAB524365 NJX524365 NTT524365 ODP524365 ONL524365 OXH524365 PHD524365 PQZ524365 QAV524365 QKR524365 QUN524365 REJ524365 ROF524365 RYB524365 SHX524365 SRT524365 TBP524365 TLL524365 TVH524365 UFD524365 UOZ524365 UYV524365 VIR524365 VSN524365 WCJ524365 WMF524365 WWB524365 T589901 JP589901 TL589901 ADH589901 AND589901 AWZ589901 BGV589901 BQR589901 CAN589901 CKJ589901 CUF589901 DEB589901 DNX589901 DXT589901 EHP589901 ERL589901 FBH589901 FLD589901 FUZ589901 GEV589901 GOR589901 GYN589901 HIJ589901 HSF589901 ICB589901 ILX589901 IVT589901 JFP589901 JPL589901 JZH589901 KJD589901 KSZ589901 LCV589901 LMR589901 LWN589901 MGJ589901 MQF589901 NAB589901 NJX589901 NTT589901 ODP589901 ONL589901 OXH589901 PHD589901 PQZ589901 QAV589901 QKR589901 QUN589901 REJ589901 ROF589901 RYB589901 SHX589901 SRT589901 TBP589901 TLL589901 TVH589901 UFD589901 UOZ589901 UYV589901 VIR589901 VSN589901 WCJ589901 WMF589901 WWB589901 T655437 JP655437 TL655437 ADH655437 AND655437 AWZ655437 BGV655437 BQR655437 CAN655437 CKJ655437 CUF655437 DEB655437 DNX655437 DXT655437 EHP655437 ERL655437 FBH655437 FLD655437 FUZ655437 GEV655437 GOR655437 GYN655437 HIJ655437 HSF655437 ICB655437 ILX655437 IVT655437 JFP655437 JPL655437 JZH655437 KJD655437 KSZ655437 LCV655437 LMR655437 LWN655437 MGJ655437 MQF655437 NAB655437 NJX655437 NTT655437 ODP655437 ONL655437 OXH655437 PHD655437 PQZ655437 QAV655437 QKR655437 QUN655437 REJ655437 ROF655437 RYB655437 SHX655437 SRT655437 TBP655437 TLL655437 TVH655437 UFD655437 UOZ655437 UYV655437 VIR655437 VSN655437 WCJ655437 WMF655437 WWB655437 T720973 JP720973 TL720973 ADH720973 AND720973 AWZ720973 BGV720973 BQR720973 CAN720973 CKJ720973 CUF720973 DEB720973 DNX720973 DXT720973 EHP720973 ERL720973 FBH720973 FLD720973 FUZ720973 GEV720973 GOR720973 GYN720973 HIJ720973 HSF720973 ICB720973 ILX720973 IVT720973 JFP720973 JPL720973 JZH720973 KJD720973 KSZ720973 LCV720973 LMR720973 LWN720973 MGJ720973 MQF720973 NAB720973 NJX720973 NTT720973 ODP720973 ONL720973 OXH720973 PHD720973 PQZ720973 QAV720973 QKR720973 QUN720973 REJ720973 ROF720973 RYB720973 SHX720973 SRT720973 TBP720973 TLL720973 TVH720973 UFD720973 UOZ720973 UYV720973 VIR720973 VSN720973 WCJ720973 WMF720973 WWB720973 T786509 JP786509 TL786509 ADH786509 AND786509 AWZ786509 BGV786509 BQR786509 CAN786509 CKJ786509 CUF786509 DEB786509 DNX786509 DXT786509 EHP786509 ERL786509 FBH786509 FLD786509 FUZ786509 GEV786509 GOR786509 GYN786509 HIJ786509 HSF786509 ICB786509 ILX786509 IVT786509 JFP786509 JPL786509 JZH786509 KJD786509 KSZ786509 LCV786509 LMR786509 LWN786509 MGJ786509 MQF786509 NAB786509 NJX786509 NTT786509 ODP786509 ONL786509 OXH786509 PHD786509 PQZ786509 QAV786509 QKR786509 QUN786509 REJ786509 ROF786509 RYB786509 SHX786509 SRT786509 TBP786509 TLL786509 TVH786509 UFD786509 UOZ786509 UYV786509 VIR786509 VSN786509 WCJ786509 WMF786509 WWB786509 T852045 JP852045 TL852045 ADH852045 AND852045 AWZ852045 BGV852045 BQR852045 CAN852045 CKJ852045 CUF852045 DEB852045 DNX852045 DXT852045 EHP852045 ERL852045 FBH852045 FLD852045 FUZ852045 GEV852045 GOR852045 GYN852045 HIJ852045 HSF852045 ICB852045 ILX852045 IVT852045 JFP852045 JPL852045 JZH852045 KJD852045 KSZ852045 LCV852045 LMR852045 LWN852045 MGJ852045 MQF852045 NAB852045 NJX852045 NTT852045 ODP852045 ONL852045 OXH852045 PHD852045 PQZ852045 QAV852045 QKR852045 QUN852045 REJ852045 ROF852045 RYB852045 SHX852045 SRT852045 TBP852045 TLL852045 TVH852045 UFD852045 UOZ852045 UYV852045 VIR852045 VSN852045 WCJ852045 WMF852045 WWB852045 T917581 JP917581 TL917581 ADH917581 AND917581 AWZ917581 BGV917581 BQR917581 CAN917581 CKJ917581 CUF917581 DEB917581 DNX917581 DXT917581 EHP917581 ERL917581 FBH917581 FLD917581 FUZ917581 GEV917581 GOR917581 GYN917581 HIJ917581 HSF917581 ICB917581 ILX917581 IVT917581 JFP917581 JPL917581 JZH917581 KJD917581 KSZ917581 LCV917581 LMR917581 LWN917581 MGJ917581 MQF917581 NAB917581 NJX917581 NTT917581 ODP917581 ONL917581 OXH917581 PHD917581 PQZ917581 QAV917581 QKR917581 QUN917581 REJ917581 ROF917581 RYB917581 SHX917581 SRT917581 TBP917581 TLL917581 TVH917581 UFD917581 UOZ917581 UYV917581 VIR917581 VSN917581 WCJ917581 WMF917581 WWB917581 T983117 JP983117 TL983117 ADH983117 AND983117 AWZ983117 BGV983117 BQR983117 CAN983117 CKJ983117 CUF983117 DEB983117 DNX983117 DXT983117 EHP983117 ERL983117 FBH983117 FLD983117 FUZ983117 GEV983117 GOR983117 GYN983117 HIJ983117 HSF983117 ICB983117 ILX983117 IVT983117 JFP983117 JPL983117 JZH983117 KJD983117 KSZ983117 LCV983117 LMR983117 LWN983117 MGJ983117 MQF983117 NAB983117 NJX983117 NTT983117 ODP983117 ONL983117 OXH983117 PHD983117 PQZ983117 QAV983117 QKR983117 QUN983117 REJ983117 ROF983117 RYB983117 SHX983117 SRT983117 TBP983117 TLL983117 TVH983117 UFD983117 UOZ983117 UYV983117 VIR983117 VSN983117 WCJ983117 WMF983117 WWB983117 Z73 JV73 TR73 ADN73 ANJ73 AXF73 BHB73 BQX73 CAT73 CKP73 CUL73 DEH73 DOD73 DXZ73 EHV73 ERR73 FBN73 FLJ73 FVF73 GFB73 GOX73 GYT73 HIP73 HSL73 ICH73 IMD73 IVZ73 JFV73 JPR73 JZN73 KJJ73 KTF73 LDB73 LMX73 LWT73 MGP73 MQL73 NAH73 NKD73 NTZ73 ODV73 ONR73 OXN73 PHJ73 PRF73 QBB73 QKX73 QUT73 REP73 ROL73 RYH73 SID73 SRZ73 TBV73 TLR73 TVN73 UFJ73 UPF73 UZB73 VIX73 VST73 WCP73 WML73 WWH73 Z65609 JV65609 TR65609 ADN65609 ANJ65609 AXF65609 BHB65609 BQX65609 CAT65609 CKP65609 CUL65609 DEH65609 DOD65609 DXZ65609 EHV65609 ERR65609 FBN65609 FLJ65609 FVF65609 GFB65609 GOX65609 GYT65609 HIP65609 HSL65609 ICH65609 IMD65609 IVZ65609 JFV65609 JPR65609 JZN65609 KJJ65609 KTF65609 LDB65609 LMX65609 LWT65609 MGP65609 MQL65609 NAH65609 NKD65609 NTZ65609 ODV65609 ONR65609 OXN65609 PHJ65609 PRF65609 QBB65609 QKX65609 QUT65609 REP65609 ROL65609 RYH65609 SID65609 SRZ65609 TBV65609 TLR65609 TVN65609 UFJ65609 UPF65609 UZB65609 VIX65609 VST65609 WCP65609 WML65609 WWH65609 Z131145 JV131145 TR131145 ADN131145 ANJ131145 AXF131145 BHB131145 BQX131145 CAT131145 CKP131145 CUL131145 DEH131145 DOD131145 DXZ131145 EHV131145 ERR131145 FBN131145 FLJ131145 FVF131145 GFB131145 GOX131145 GYT131145 HIP131145 HSL131145 ICH131145 IMD131145 IVZ131145 JFV131145 JPR131145 JZN131145 KJJ131145 KTF131145 LDB131145 LMX131145 LWT131145 MGP131145 MQL131145 NAH131145 NKD131145 NTZ131145 ODV131145 ONR131145 OXN131145 PHJ131145 PRF131145 QBB131145 QKX131145 QUT131145 REP131145 ROL131145 RYH131145 SID131145 SRZ131145 TBV131145 TLR131145 TVN131145 UFJ131145 UPF131145 UZB131145 VIX131145 VST131145 WCP131145 WML131145 WWH131145 Z196681 JV196681 TR196681 ADN196681 ANJ196681 AXF196681 BHB196681 BQX196681 CAT196681 CKP196681 CUL196681 DEH196681 DOD196681 DXZ196681 EHV196681 ERR196681 FBN196681 FLJ196681 FVF196681 GFB196681 GOX196681 GYT196681 HIP196681 HSL196681 ICH196681 IMD196681 IVZ196681 JFV196681 JPR196681 JZN196681 KJJ196681 KTF196681 LDB196681 LMX196681 LWT196681 MGP196681 MQL196681 NAH196681 NKD196681 NTZ196681 ODV196681 ONR196681 OXN196681 PHJ196681 PRF196681 QBB196681 QKX196681 QUT196681 REP196681 ROL196681 RYH196681 SID196681 SRZ196681 TBV196681 TLR196681 TVN196681 UFJ196681 UPF196681 UZB196681 VIX196681 VST196681 WCP196681 WML196681 WWH196681 Z262217 JV262217 TR262217 ADN262217 ANJ262217 AXF262217 BHB262217 BQX262217 CAT262217 CKP262217 CUL262217 DEH262217 DOD262217 DXZ262217 EHV262217 ERR262217 FBN262217 FLJ262217 FVF262217 GFB262217 GOX262217 GYT262217 HIP262217 HSL262217 ICH262217 IMD262217 IVZ262217 JFV262217 JPR262217 JZN262217 KJJ262217 KTF262217 LDB262217 LMX262217 LWT262217 MGP262217 MQL262217 NAH262217 NKD262217 NTZ262217 ODV262217 ONR262217 OXN262217 PHJ262217 PRF262217 QBB262217 QKX262217 QUT262217 REP262217 ROL262217 RYH262217 SID262217 SRZ262217 TBV262217 TLR262217 TVN262217 UFJ262217 UPF262217 UZB262217 VIX262217 VST262217 WCP262217 WML262217 WWH262217 Z327753 JV327753 TR327753 ADN327753 ANJ327753 AXF327753 BHB327753 BQX327753 CAT327753 CKP327753 CUL327753 DEH327753 DOD327753 DXZ327753 EHV327753 ERR327753 FBN327753 FLJ327753 FVF327753 GFB327753 GOX327753 GYT327753 HIP327753 HSL327753 ICH327753 IMD327753 IVZ327753 JFV327753 JPR327753 JZN327753 KJJ327753 KTF327753 LDB327753 LMX327753 LWT327753 MGP327753 MQL327753 NAH327753 NKD327753 NTZ327753 ODV327753 ONR327753 OXN327753 PHJ327753 PRF327753 QBB327753 QKX327753 QUT327753 REP327753 ROL327753 RYH327753 SID327753 SRZ327753 TBV327753 TLR327753 TVN327753 UFJ327753 UPF327753 UZB327753 VIX327753 VST327753 WCP327753 WML327753 WWH327753 Z393289 JV393289 TR393289 ADN393289 ANJ393289 AXF393289 BHB393289 BQX393289 CAT393289 CKP393289 CUL393289 DEH393289 DOD393289 DXZ393289 EHV393289 ERR393289 FBN393289 FLJ393289 FVF393289 GFB393289 GOX393289 GYT393289 HIP393289 HSL393289 ICH393289 IMD393289 IVZ393289 JFV393289 JPR393289 JZN393289 KJJ393289 KTF393289 LDB393289 LMX393289 LWT393289 MGP393289 MQL393289 NAH393289 NKD393289 NTZ393289 ODV393289 ONR393289 OXN393289 PHJ393289 PRF393289 QBB393289 QKX393289 QUT393289 REP393289 ROL393289 RYH393289 SID393289 SRZ393289 TBV393289 TLR393289 TVN393289 UFJ393289 UPF393289 UZB393289 VIX393289 VST393289 WCP393289 WML393289 WWH393289 Z458825 JV458825 TR458825 ADN458825 ANJ458825 AXF458825 BHB458825 BQX458825 CAT458825 CKP458825 CUL458825 DEH458825 DOD458825 DXZ458825 EHV458825 ERR458825 FBN458825 FLJ458825 FVF458825 GFB458825 GOX458825 GYT458825 HIP458825 HSL458825 ICH458825 IMD458825 IVZ458825 JFV458825 JPR458825 JZN458825 KJJ458825 KTF458825 LDB458825 LMX458825 LWT458825 MGP458825 MQL458825 NAH458825 NKD458825 NTZ458825 ODV458825 ONR458825 OXN458825 PHJ458825 PRF458825 QBB458825 QKX458825 QUT458825 REP458825 ROL458825 RYH458825 SID458825 SRZ458825 TBV458825 TLR458825 TVN458825 UFJ458825 UPF458825 UZB458825 VIX458825 VST458825 WCP458825 WML458825 WWH458825 Z524361 JV524361 TR524361 ADN524361 ANJ524361 AXF524361 BHB524361 BQX524361 CAT524361 CKP524361 CUL524361 DEH524361 DOD524361 DXZ524361 EHV524361 ERR524361 FBN524361 FLJ524361 FVF524361 GFB524361 GOX524361 GYT524361 HIP524361 HSL524361 ICH524361 IMD524361 IVZ524361 JFV524361 JPR524361 JZN524361 KJJ524361 KTF524361 LDB524361 LMX524361 LWT524361 MGP524361 MQL524361 NAH524361 NKD524361 NTZ524361 ODV524361 ONR524361 OXN524361 PHJ524361 PRF524361 QBB524361 QKX524361 QUT524361 REP524361 ROL524361 RYH524361 SID524361 SRZ524361 TBV524361 TLR524361 TVN524361 UFJ524361 UPF524361 UZB524361 VIX524361 VST524361 WCP524361 WML524361 WWH524361 Z589897 JV589897 TR589897 ADN589897 ANJ589897 AXF589897 BHB589897 BQX589897 CAT589897 CKP589897 CUL589897 DEH589897 DOD589897 DXZ589897 EHV589897 ERR589897 FBN589897 FLJ589897 FVF589897 GFB589897 GOX589897 GYT589897 HIP589897 HSL589897 ICH589897 IMD589897 IVZ589897 JFV589897 JPR589897 JZN589897 KJJ589897 KTF589897 LDB589897 LMX589897 LWT589897 MGP589897 MQL589897 NAH589897 NKD589897 NTZ589897 ODV589897 ONR589897 OXN589897 PHJ589897 PRF589897 QBB589897 QKX589897 QUT589897 REP589897 ROL589897 RYH589897 SID589897 SRZ589897 TBV589897 TLR589897 TVN589897 UFJ589897 UPF589897 UZB589897 VIX589897 VST589897 WCP589897 WML589897 WWH589897 Z655433 JV655433 TR655433 ADN655433 ANJ655433 AXF655433 BHB655433 BQX655433 CAT655433 CKP655433 CUL655433 DEH655433 DOD655433 DXZ655433 EHV655433 ERR655433 FBN655433 FLJ655433 FVF655433 GFB655433 GOX655433 GYT655433 HIP655433 HSL655433 ICH655433 IMD655433 IVZ655433 JFV655433 JPR655433 JZN655433 KJJ655433 KTF655433 LDB655433 LMX655433 LWT655433 MGP655433 MQL655433 NAH655433 NKD655433 NTZ655433 ODV655433 ONR655433 OXN655433 PHJ655433 PRF655433 QBB655433 QKX655433 QUT655433 REP655433 ROL655433 RYH655433 SID655433 SRZ655433 TBV655433 TLR655433 TVN655433 UFJ655433 UPF655433 UZB655433 VIX655433 VST655433 WCP655433 WML655433 WWH655433 Z720969 JV720969 TR720969 ADN720969 ANJ720969 AXF720969 BHB720969 BQX720969 CAT720969 CKP720969 CUL720969 DEH720969 DOD720969 DXZ720969 EHV720969 ERR720969 FBN720969 FLJ720969 FVF720969 GFB720969 GOX720969 GYT720969 HIP720969 HSL720969 ICH720969 IMD720969 IVZ720969 JFV720969 JPR720969 JZN720969 KJJ720969 KTF720969 LDB720969 LMX720969 LWT720969 MGP720969 MQL720969 NAH720969 NKD720969 NTZ720969 ODV720969 ONR720969 OXN720969 PHJ720969 PRF720969 QBB720969 QKX720969 QUT720969 REP720969 ROL720969 RYH720969 SID720969 SRZ720969 TBV720969 TLR720969 TVN720969 UFJ720969 UPF720969 UZB720969 VIX720969 VST720969 WCP720969 WML720969 WWH720969 Z786505 JV786505 TR786505 ADN786505 ANJ786505 AXF786505 BHB786505 BQX786505 CAT786505 CKP786505 CUL786505 DEH786505 DOD786505 DXZ786505 EHV786505 ERR786505 FBN786505 FLJ786505 FVF786505 GFB786505 GOX786505 GYT786505 HIP786505 HSL786505 ICH786505 IMD786505 IVZ786505 JFV786505 JPR786505 JZN786505 KJJ786505 KTF786505 LDB786505 LMX786505 LWT786505 MGP786505 MQL786505 NAH786505 NKD786505 NTZ786505 ODV786505 ONR786505 OXN786505 PHJ786505 PRF786505 QBB786505 QKX786505 QUT786505 REP786505 ROL786505 RYH786505 SID786505 SRZ786505 TBV786505 TLR786505 TVN786505 UFJ786505 UPF786505 UZB786505 VIX786505 VST786505 WCP786505 WML786505 WWH786505 Z852041 JV852041 TR852041 ADN852041 ANJ852041 AXF852041 BHB852041 BQX852041 CAT852041 CKP852041 CUL852041 DEH852041 DOD852041 DXZ852041 EHV852041 ERR852041 FBN852041 FLJ852041 FVF852041 GFB852041 GOX852041 GYT852041 HIP852041 HSL852041 ICH852041 IMD852041 IVZ852041 JFV852041 JPR852041 JZN852041 KJJ852041 KTF852041 LDB852041 LMX852041 LWT852041 MGP852041 MQL852041 NAH852041 NKD852041 NTZ852041 ODV852041 ONR852041 OXN852041 PHJ852041 PRF852041 QBB852041 QKX852041 QUT852041 REP852041 ROL852041 RYH852041 SID852041 SRZ852041 TBV852041 TLR852041 TVN852041 UFJ852041 UPF852041 UZB852041 VIX852041 VST852041 WCP852041 WML852041 WWH852041 Z917577 JV917577 TR917577 ADN917577 ANJ917577 AXF917577 BHB917577 BQX917577 CAT917577 CKP917577 CUL917577 DEH917577 DOD917577 DXZ917577 EHV917577 ERR917577 FBN917577 FLJ917577 FVF917577 GFB917577 GOX917577 GYT917577 HIP917577 HSL917577 ICH917577 IMD917577 IVZ917577 JFV917577 JPR917577 JZN917577 KJJ917577 KTF917577 LDB917577 LMX917577 LWT917577 MGP917577 MQL917577 NAH917577 NKD917577 NTZ917577 ODV917577 ONR917577 OXN917577 PHJ917577 PRF917577 QBB917577 QKX917577 QUT917577 REP917577 ROL917577 RYH917577 SID917577 SRZ917577 TBV917577 TLR917577 TVN917577 UFJ917577 UPF917577 UZB917577 VIX917577 VST917577 WCP917577 WML917577 WWH917577 Z983113 JV983113 TR983113 ADN983113 ANJ983113 AXF983113 BHB983113 BQX983113 CAT983113 CKP983113 CUL983113 DEH983113 DOD983113 DXZ983113 EHV983113 ERR983113 FBN983113 FLJ983113 FVF983113 GFB983113 GOX983113 GYT983113 HIP983113 HSL983113 ICH983113 IMD983113 IVZ983113 JFV983113 JPR983113 JZN983113 KJJ983113 KTF983113 LDB983113 LMX983113 LWT983113 MGP983113 MQL983113 NAH983113 NKD983113 NTZ983113 ODV983113 ONR983113 OXN983113 PHJ983113 PRF983113 QBB983113 QKX983113 QUT983113 REP983113 ROL983113 RYH983113 SID983113 SRZ983113 TBV983113 TLR983113 TVN983113 UFJ983113 UPF983113 UZB983113 VIX983113 VST983113 WCP983113 WML983113 WWH983113 AN73 KJ73 UF73 AEB73 ANX73 AXT73 BHP73 BRL73 CBH73 CLD73 CUZ73 DEV73 DOR73 DYN73 EIJ73 ESF73 FCB73 FLX73 FVT73 GFP73 GPL73 GZH73 HJD73 HSZ73 ICV73 IMR73 IWN73 JGJ73 JQF73 KAB73 KJX73 KTT73 LDP73 LNL73 LXH73 MHD73 MQZ73 NAV73 NKR73 NUN73 OEJ73 OOF73 OYB73 PHX73 PRT73 QBP73 QLL73 QVH73 RFD73 ROZ73 RYV73 SIR73 SSN73 TCJ73 TMF73 TWB73 UFX73 UPT73 UZP73 VJL73 VTH73 WDD73 WMZ73 WWV73 AN65609 KJ65609 UF65609 AEB65609 ANX65609 AXT65609 BHP65609 BRL65609 CBH65609 CLD65609 CUZ65609 DEV65609 DOR65609 DYN65609 EIJ65609 ESF65609 FCB65609 FLX65609 FVT65609 GFP65609 GPL65609 GZH65609 HJD65609 HSZ65609 ICV65609 IMR65609 IWN65609 JGJ65609 JQF65609 KAB65609 KJX65609 KTT65609 LDP65609 LNL65609 LXH65609 MHD65609 MQZ65609 NAV65609 NKR65609 NUN65609 OEJ65609 OOF65609 OYB65609 PHX65609 PRT65609 QBP65609 QLL65609 QVH65609 RFD65609 ROZ65609 RYV65609 SIR65609 SSN65609 TCJ65609 TMF65609 TWB65609 UFX65609 UPT65609 UZP65609 VJL65609 VTH65609 WDD65609 WMZ65609 WWV65609 AN131145 KJ131145 UF131145 AEB131145 ANX131145 AXT131145 BHP131145 BRL131145 CBH131145 CLD131145 CUZ131145 DEV131145 DOR131145 DYN131145 EIJ131145 ESF131145 FCB131145 FLX131145 FVT131145 GFP131145 GPL131145 GZH131145 HJD131145 HSZ131145 ICV131145 IMR131145 IWN131145 JGJ131145 JQF131145 KAB131145 KJX131145 KTT131145 LDP131145 LNL131145 LXH131145 MHD131145 MQZ131145 NAV131145 NKR131145 NUN131145 OEJ131145 OOF131145 OYB131145 PHX131145 PRT131145 QBP131145 QLL131145 QVH131145 RFD131145 ROZ131145 RYV131145 SIR131145 SSN131145 TCJ131145 TMF131145 TWB131145 UFX131145 UPT131145 UZP131145 VJL131145 VTH131145 WDD131145 WMZ131145 WWV131145 AN196681 KJ196681 UF196681 AEB196681 ANX196681 AXT196681 BHP196681 BRL196681 CBH196681 CLD196681 CUZ196681 DEV196681 DOR196681 DYN196681 EIJ196681 ESF196681 FCB196681 FLX196681 FVT196681 GFP196681 GPL196681 GZH196681 HJD196681 HSZ196681 ICV196681 IMR196681 IWN196681 JGJ196681 JQF196681 KAB196681 KJX196681 KTT196681 LDP196681 LNL196681 LXH196681 MHD196681 MQZ196681 NAV196681 NKR196681 NUN196681 OEJ196681 OOF196681 OYB196681 PHX196681 PRT196681 QBP196681 QLL196681 QVH196681 RFD196681 ROZ196681 RYV196681 SIR196681 SSN196681 TCJ196681 TMF196681 TWB196681 UFX196681 UPT196681 UZP196681 VJL196681 VTH196681 WDD196681 WMZ196681 WWV196681 AN262217 KJ262217 UF262217 AEB262217 ANX262217 AXT262217 BHP262217 BRL262217 CBH262217 CLD262217 CUZ262217 DEV262217 DOR262217 DYN262217 EIJ262217 ESF262217 FCB262217 FLX262217 FVT262217 GFP262217 GPL262217 GZH262217 HJD262217 HSZ262217 ICV262217 IMR262217 IWN262217 JGJ262217 JQF262217 KAB262217 KJX262217 KTT262217 LDP262217 LNL262217 LXH262217 MHD262217 MQZ262217 NAV262217 NKR262217 NUN262217 OEJ262217 OOF262217 OYB262217 PHX262217 PRT262217 QBP262217 QLL262217 QVH262217 RFD262217 ROZ262217 RYV262217 SIR262217 SSN262217 TCJ262217 TMF262217 TWB262217 UFX262217 UPT262217 UZP262217 VJL262217 VTH262217 WDD262217 WMZ262217 WWV262217 AN327753 KJ327753 UF327753 AEB327753 ANX327753 AXT327753 BHP327753 BRL327753 CBH327753 CLD327753 CUZ327753 DEV327753 DOR327753 DYN327753 EIJ327753 ESF327753 FCB327753 FLX327753 FVT327753 GFP327753 GPL327753 GZH327753 HJD327753 HSZ327753 ICV327753 IMR327753 IWN327753 JGJ327753 JQF327753 KAB327753 KJX327753 KTT327753 LDP327753 LNL327753 LXH327753 MHD327753 MQZ327753 NAV327753 NKR327753 NUN327753 OEJ327753 OOF327753 OYB327753 PHX327753 PRT327753 QBP327753 QLL327753 QVH327753 RFD327753 ROZ327753 RYV327753 SIR327753 SSN327753 TCJ327753 TMF327753 TWB327753 UFX327753 UPT327753 UZP327753 VJL327753 VTH327753 WDD327753 WMZ327753 WWV327753 AN393289 KJ393289 UF393289 AEB393289 ANX393289 AXT393289 BHP393289 BRL393289 CBH393289 CLD393289 CUZ393289 DEV393289 DOR393289 DYN393289 EIJ393289 ESF393289 FCB393289 FLX393289 FVT393289 GFP393289 GPL393289 GZH393289 HJD393289 HSZ393289 ICV393289 IMR393289 IWN393289 JGJ393289 JQF393289 KAB393289 KJX393289 KTT393289 LDP393289 LNL393289 LXH393289 MHD393289 MQZ393289 NAV393289 NKR393289 NUN393289 OEJ393289 OOF393289 OYB393289 PHX393289 PRT393289 QBP393289 QLL393289 QVH393289 RFD393289 ROZ393289 RYV393289 SIR393289 SSN393289 TCJ393289 TMF393289 TWB393289 UFX393289 UPT393289 UZP393289 VJL393289 VTH393289 WDD393289 WMZ393289 WWV393289 AN458825 KJ458825 UF458825 AEB458825 ANX458825 AXT458825 BHP458825 BRL458825 CBH458825 CLD458825 CUZ458825 DEV458825 DOR458825 DYN458825 EIJ458825 ESF458825 FCB458825 FLX458825 FVT458825 GFP458825 GPL458825 GZH458825 HJD458825 HSZ458825 ICV458825 IMR458825 IWN458825 JGJ458825 JQF458825 KAB458825 KJX458825 KTT458825 LDP458825 LNL458825 LXH458825 MHD458825 MQZ458825 NAV458825 NKR458825 NUN458825 OEJ458825 OOF458825 OYB458825 PHX458825 PRT458825 QBP458825 QLL458825 QVH458825 RFD458825 ROZ458825 RYV458825 SIR458825 SSN458825 TCJ458825 TMF458825 TWB458825 UFX458825 UPT458825 UZP458825 VJL458825 VTH458825 WDD458825 WMZ458825 WWV458825 AN524361 KJ524361 UF524361 AEB524361 ANX524361 AXT524361 BHP524361 BRL524361 CBH524361 CLD524361 CUZ524361 DEV524361 DOR524361 DYN524361 EIJ524361 ESF524361 FCB524361 FLX524361 FVT524361 GFP524361 GPL524361 GZH524361 HJD524361 HSZ524361 ICV524361 IMR524361 IWN524361 JGJ524361 JQF524361 KAB524361 KJX524361 KTT524361 LDP524361 LNL524361 LXH524361 MHD524361 MQZ524361 NAV524361 NKR524361 NUN524361 OEJ524361 OOF524361 OYB524361 PHX524361 PRT524361 QBP524361 QLL524361 QVH524361 RFD524361 ROZ524361 RYV524361 SIR524361 SSN524361 TCJ524361 TMF524361 TWB524361 UFX524361 UPT524361 UZP524361 VJL524361 VTH524361 WDD524361 WMZ524361 WWV524361 AN589897 KJ589897 UF589897 AEB589897 ANX589897 AXT589897 BHP589897 BRL589897 CBH589897 CLD589897 CUZ589897 DEV589897 DOR589897 DYN589897 EIJ589897 ESF589897 FCB589897 FLX589897 FVT589897 GFP589897 GPL589897 GZH589897 HJD589897 HSZ589897 ICV589897 IMR589897 IWN589897 JGJ589897 JQF589897 KAB589897 KJX589897 KTT589897 LDP589897 LNL589897 LXH589897 MHD589897 MQZ589897 NAV589897 NKR589897 NUN589897 OEJ589897 OOF589897 OYB589897 PHX589897 PRT589897 QBP589897 QLL589897 QVH589897 RFD589897 ROZ589897 RYV589897 SIR589897 SSN589897 TCJ589897 TMF589897 TWB589897 UFX589897 UPT589897 UZP589897 VJL589897 VTH589897 WDD589897 WMZ589897 WWV589897 AN655433 KJ655433 UF655433 AEB655433 ANX655433 AXT655433 BHP655433 BRL655433 CBH655433 CLD655433 CUZ655433 DEV655433 DOR655433 DYN655433 EIJ655433 ESF655433 FCB655433 FLX655433 FVT655433 GFP655433 GPL655433 GZH655433 HJD655433 HSZ655433 ICV655433 IMR655433 IWN655433 JGJ655433 JQF655433 KAB655433 KJX655433 KTT655433 LDP655433 LNL655433 LXH655433 MHD655433 MQZ655433 NAV655433 NKR655433 NUN655433 OEJ655433 OOF655433 OYB655433 PHX655433 PRT655433 QBP655433 QLL655433 QVH655433 RFD655433 ROZ655433 RYV655433 SIR655433 SSN655433 TCJ655433 TMF655433 TWB655433 UFX655433 UPT655433 UZP655433 VJL655433 VTH655433 WDD655433 WMZ655433 WWV655433 AN720969 KJ720969 UF720969 AEB720969 ANX720969 AXT720969 BHP720969 BRL720969 CBH720969 CLD720969 CUZ720969 DEV720969 DOR720969 DYN720969 EIJ720969 ESF720969 FCB720969 FLX720969 FVT720969 GFP720969 GPL720969 GZH720969 HJD720969 HSZ720969 ICV720969 IMR720969 IWN720969 JGJ720969 JQF720969 KAB720969 KJX720969 KTT720969 LDP720969 LNL720969 LXH720969 MHD720969 MQZ720969 NAV720969 NKR720969 NUN720969 OEJ720969 OOF720969 OYB720969 PHX720969 PRT720969 QBP720969 QLL720969 QVH720969 RFD720969 ROZ720969 RYV720969 SIR720969 SSN720969 TCJ720969 TMF720969 TWB720969 UFX720969 UPT720969 UZP720969 VJL720969 VTH720969 WDD720969 WMZ720969 WWV720969 AN786505 KJ786505 UF786505 AEB786505 ANX786505 AXT786505 BHP786505 BRL786505 CBH786505 CLD786505 CUZ786505 DEV786505 DOR786505 DYN786505 EIJ786505 ESF786505 FCB786505 FLX786505 FVT786505 GFP786505 GPL786505 GZH786505 HJD786505 HSZ786505 ICV786505 IMR786505 IWN786505 JGJ786505 JQF786505 KAB786505 KJX786505 KTT786505 LDP786505 LNL786505 LXH786505 MHD786505 MQZ786505 NAV786505 NKR786505 NUN786505 OEJ786505 OOF786505 OYB786505 PHX786505 PRT786505 QBP786505 QLL786505 QVH786505 RFD786505 ROZ786505 RYV786505 SIR786505 SSN786505 TCJ786505 TMF786505 TWB786505 UFX786505 UPT786505 UZP786505 VJL786505 VTH786505 WDD786505 WMZ786505 WWV786505 AN852041 KJ852041 UF852041 AEB852041 ANX852041 AXT852041 BHP852041 BRL852041 CBH852041 CLD852041 CUZ852041 DEV852041 DOR852041 DYN852041 EIJ852041 ESF852041 FCB852041 FLX852041 FVT852041 GFP852041 GPL852041 GZH852041 HJD852041 HSZ852041 ICV852041 IMR852041 IWN852041 JGJ852041 JQF852041 KAB852041 KJX852041 KTT852041 LDP852041 LNL852041 LXH852041 MHD852041 MQZ852041 NAV852041 NKR852041 NUN852041 OEJ852041 OOF852041 OYB852041 PHX852041 PRT852041 QBP852041 QLL852041 QVH852041 RFD852041 ROZ852041 RYV852041 SIR852041 SSN852041 TCJ852041 TMF852041 TWB852041 UFX852041 UPT852041 UZP852041 VJL852041 VTH852041 WDD852041 WMZ852041 WWV852041 AN917577 KJ917577 UF917577 AEB917577 ANX917577 AXT917577 BHP917577 BRL917577 CBH917577 CLD917577 CUZ917577 DEV917577 DOR917577 DYN917577 EIJ917577 ESF917577 FCB917577 FLX917577 FVT917577 GFP917577 GPL917577 GZH917577 HJD917577 HSZ917577 ICV917577 IMR917577 IWN917577 JGJ917577 JQF917577 KAB917577 KJX917577 KTT917577 LDP917577 LNL917577 LXH917577 MHD917577 MQZ917577 NAV917577 NKR917577 NUN917577 OEJ917577 OOF917577 OYB917577 PHX917577 PRT917577 QBP917577 QLL917577 QVH917577 RFD917577 ROZ917577 RYV917577 SIR917577 SSN917577 TCJ917577 TMF917577 TWB917577 UFX917577 UPT917577 UZP917577 VJL917577 VTH917577 WDD917577 WMZ917577 WWV917577 AN983113 KJ983113 UF983113 AEB983113 ANX983113 AXT983113 BHP983113 BRL983113 CBH983113 CLD983113 CUZ983113 DEV983113 DOR983113 DYN983113 EIJ983113 ESF983113 FCB983113 FLX983113 FVT983113 GFP983113 GPL983113 GZH983113 HJD983113 HSZ983113 ICV983113 IMR983113 IWN983113 JGJ983113 JQF983113 KAB983113 KJX983113 KTT983113 LDP983113 LNL983113 LXH983113 MHD983113 MQZ983113 NAV983113 NKR983113 NUN983113 OEJ983113 OOF983113 OYB983113 PHX983113 PRT983113 QBP983113 QLL983113 QVH983113 RFD983113 ROZ983113 RYV983113 SIR983113 SSN983113 TCJ983113 TMF983113 TWB983113 UFX983113 UPT983113 UZP983113 VJL983113 VTH983113 WDD983113 WMZ983113 WWV983113 T202:U203 KX229:KY233 UT229:UU233 AEP229:AEQ233 AOL229:AOM233 AYH229:AYI233 BID229:BIE233 BRZ229:BSA233 CBV229:CBW233 CLR229:CLS233 CVN229:CVO233 DFJ229:DFK233 DPF229:DPG233 DZB229:DZC233 EIX229:EIY233 EST229:ESU233 FCP229:FCQ233 FML229:FMM233 FWH229:FWI233 GGD229:GGE233 GPZ229:GQA233 GZV229:GZW233 HJR229:HJS233 HTN229:HTO233 IDJ229:IDK233 INF229:ING233 IXB229:IXC233 JGX229:JGY233 JQT229:JQU233 KAP229:KAQ233 KKL229:KKM233 KUH229:KUI233 LED229:LEE233 LNZ229:LOA233 LXV229:LXW233 MHR229:MHS233 MRN229:MRO233 NBJ229:NBK233 NLF229:NLG233 NVB229:NVC233 OEX229:OEY233 OOT229:OOU233 OYP229:OYQ233 PIL229:PIM233 PSH229:PSI233 QCD229:QCE233 QLZ229:QMA233 QVV229:QVW233 RFR229:RFS233 RPN229:RPO233 RZJ229:RZK233 SJF229:SJG233 STB229:STC233 TCX229:TCY233 TMT229:TMU233 TWP229:TWQ233 UGL229:UGM233 UQH229:UQI233 VAD229:VAE233 VJZ229:VKA233 VTV229:VTW233 WDR229:WDS233 WNN229:WNO233 WXJ229:WXK233 BB65765:BC65769 KX65765:KY65769 UT65765:UU65769 AEP65765:AEQ65769 AOL65765:AOM65769 AYH65765:AYI65769 BID65765:BIE65769 BRZ65765:BSA65769 CBV65765:CBW65769 CLR65765:CLS65769 CVN65765:CVO65769 DFJ65765:DFK65769 DPF65765:DPG65769 DZB65765:DZC65769 EIX65765:EIY65769 EST65765:ESU65769 FCP65765:FCQ65769 FML65765:FMM65769 FWH65765:FWI65769 GGD65765:GGE65769 GPZ65765:GQA65769 GZV65765:GZW65769 HJR65765:HJS65769 HTN65765:HTO65769 IDJ65765:IDK65769 INF65765:ING65769 IXB65765:IXC65769 JGX65765:JGY65769 JQT65765:JQU65769 KAP65765:KAQ65769 KKL65765:KKM65769 KUH65765:KUI65769 LED65765:LEE65769 LNZ65765:LOA65769 LXV65765:LXW65769 MHR65765:MHS65769 MRN65765:MRO65769 NBJ65765:NBK65769 NLF65765:NLG65769 NVB65765:NVC65769 OEX65765:OEY65769 OOT65765:OOU65769 OYP65765:OYQ65769 PIL65765:PIM65769 PSH65765:PSI65769 QCD65765:QCE65769 QLZ65765:QMA65769 QVV65765:QVW65769 RFR65765:RFS65769 RPN65765:RPO65769 RZJ65765:RZK65769 SJF65765:SJG65769 STB65765:STC65769 TCX65765:TCY65769 TMT65765:TMU65769 TWP65765:TWQ65769 UGL65765:UGM65769 UQH65765:UQI65769 VAD65765:VAE65769 VJZ65765:VKA65769 VTV65765:VTW65769 WDR65765:WDS65769 WNN65765:WNO65769 WXJ65765:WXK65769 BB131301:BC131305 KX131301:KY131305 UT131301:UU131305 AEP131301:AEQ131305 AOL131301:AOM131305 AYH131301:AYI131305 BID131301:BIE131305 BRZ131301:BSA131305 CBV131301:CBW131305 CLR131301:CLS131305 CVN131301:CVO131305 DFJ131301:DFK131305 DPF131301:DPG131305 DZB131301:DZC131305 EIX131301:EIY131305 EST131301:ESU131305 FCP131301:FCQ131305 FML131301:FMM131305 FWH131301:FWI131305 GGD131301:GGE131305 GPZ131301:GQA131305 GZV131301:GZW131305 HJR131301:HJS131305 HTN131301:HTO131305 IDJ131301:IDK131305 INF131301:ING131305 IXB131301:IXC131305 JGX131301:JGY131305 JQT131301:JQU131305 KAP131301:KAQ131305 KKL131301:KKM131305 KUH131301:KUI131305 LED131301:LEE131305 LNZ131301:LOA131305 LXV131301:LXW131305 MHR131301:MHS131305 MRN131301:MRO131305 NBJ131301:NBK131305 NLF131301:NLG131305 NVB131301:NVC131305 OEX131301:OEY131305 OOT131301:OOU131305 OYP131301:OYQ131305 PIL131301:PIM131305 PSH131301:PSI131305 QCD131301:QCE131305 QLZ131301:QMA131305 QVV131301:QVW131305 RFR131301:RFS131305 RPN131301:RPO131305 RZJ131301:RZK131305 SJF131301:SJG131305 STB131301:STC131305 TCX131301:TCY131305 TMT131301:TMU131305 TWP131301:TWQ131305 UGL131301:UGM131305 UQH131301:UQI131305 VAD131301:VAE131305 VJZ131301:VKA131305 VTV131301:VTW131305 WDR131301:WDS131305 WNN131301:WNO131305 WXJ131301:WXK131305 BB196837:BC196841 KX196837:KY196841 UT196837:UU196841 AEP196837:AEQ196841 AOL196837:AOM196841 AYH196837:AYI196841 BID196837:BIE196841 BRZ196837:BSA196841 CBV196837:CBW196841 CLR196837:CLS196841 CVN196837:CVO196841 DFJ196837:DFK196841 DPF196837:DPG196841 DZB196837:DZC196841 EIX196837:EIY196841 EST196837:ESU196841 FCP196837:FCQ196841 FML196837:FMM196841 FWH196837:FWI196841 GGD196837:GGE196841 GPZ196837:GQA196841 GZV196837:GZW196841 HJR196837:HJS196841 HTN196837:HTO196841 IDJ196837:IDK196841 INF196837:ING196841 IXB196837:IXC196841 JGX196837:JGY196841 JQT196837:JQU196841 KAP196837:KAQ196841 KKL196837:KKM196841 KUH196837:KUI196841 LED196837:LEE196841 LNZ196837:LOA196841 LXV196837:LXW196841 MHR196837:MHS196841 MRN196837:MRO196841 NBJ196837:NBK196841 NLF196837:NLG196841 NVB196837:NVC196841 OEX196837:OEY196841 OOT196837:OOU196841 OYP196837:OYQ196841 PIL196837:PIM196841 PSH196837:PSI196841 QCD196837:QCE196841 QLZ196837:QMA196841 QVV196837:QVW196841 RFR196837:RFS196841 RPN196837:RPO196841 RZJ196837:RZK196841 SJF196837:SJG196841 STB196837:STC196841 TCX196837:TCY196841 TMT196837:TMU196841 TWP196837:TWQ196841 UGL196837:UGM196841 UQH196837:UQI196841 VAD196837:VAE196841 VJZ196837:VKA196841 VTV196837:VTW196841 WDR196837:WDS196841 WNN196837:WNO196841 WXJ196837:WXK196841 BB262373:BC262377 KX262373:KY262377 UT262373:UU262377 AEP262373:AEQ262377 AOL262373:AOM262377 AYH262373:AYI262377 BID262373:BIE262377 BRZ262373:BSA262377 CBV262373:CBW262377 CLR262373:CLS262377 CVN262373:CVO262377 DFJ262373:DFK262377 DPF262373:DPG262377 DZB262373:DZC262377 EIX262373:EIY262377 EST262373:ESU262377 FCP262373:FCQ262377 FML262373:FMM262377 FWH262373:FWI262377 GGD262373:GGE262377 GPZ262373:GQA262377 GZV262373:GZW262377 HJR262373:HJS262377 HTN262373:HTO262377 IDJ262373:IDK262377 INF262373:ING262377 IXB262373:IXC262377 JGX262373:JGY262377 JQT262373:JQU262377 KAP262373:KAQ262377 KKL262373:KKM262377 KUH262373:KUI262377 LED262373:LEE262377 LNZ262373:LOA262377 LXV262373:LXW262377 MHR262373:MHS262377 MRN262373:MRO262377 NBJ262373:NBK262377 NLF262373:NLG262377 NVB262373:NVC262377 OEX262373:OEY262377 OOT262373:OOU262377 OYP262373:OYQ262377 PIL262373:PIM262377 PSH262373:PSI262377 QCD262373:QCE262377 QLZ262373:QMA262377 QVV262373:QVW262377 RFR262373:RFS262377 RPN262373:RPO262377 RZJ262373:RZK262377 SJF262373:SJG262377 STB262373:STC262377 TCX262373:TCY262377 TMT262373:TMU262377 TWP262373:TWQ262377 UGL262373:UGM262377 UQH262373:UQI262377 VAD262373:VAE262377 VJZ262373:VKA262377 VTV262373:VTW262377 WDR262373:WDS262377 WNN262373:WNO262377 WXJ262373:WXK262377 BB327909:BC327913 KX327909:KY327913 UT327909:UU327913 AEP327909:AEQ327913 AOL327909:AOM327913 AYH327909:AYI327913 BID327909:BIE327913 BRZ327909:BSA327913 CBV327909:CBW327913 CLR327909:CLS327913 CVN327909:CVO327913 DFJ327909:DFK327913 DPF327909:DPG327913 DZB327909:DZC327913 EIX327909:EIY327913 EST327909:ESU327913 FCP327909:FCQ327913 FML327909:FMM327913 FWH327909:FWI327913 GGD327909:GGE327913 GPZ327909:GQA327913 GZV327909:GZW327913 HJR327909:HJS327913 HTN327909:HTO327913 IDJ327909:IDK327913 INF327909:ING327913 IXB327909:IXC327913 JGX327909:JGY327913 JQT327909:JQU327913 KAP327909:KAQ327913 KKL327909:KKM327913 KUH327909:KUI327913 LED327909:LEE327913 LNZ327909:LOA327913 LXV327909:LXW327913 MHR327909:MHS327913 MRN327909:MRO327913 NBJ327909:NBK327913 NLF327909:NLG327913 NVB327909:NVC327913 OEX327909:OEY327913 OOT327909:OOU327913 OYP327909:OYQ327913 PIL327909:PIM327913 PSH327909:PSI327913 QCD327909:QCE327913 QLZ327909:QMA327913 QVV327909:QVW327913 RFR327909:RFS327913 RPN327909:RPO327913 RZJ327909:RZK327913 SJF327909:SJG327913 STB327909:STC327913 TCX327909:TCY327913 TMT327909:TMU327913 TWP327909:TWQ327913 UGL327909:UGM327913 UQH327909:UQI327913 VAD327909:VAE327913 VJZ327909:VKA327913 VTV327909:VTW327913 WDR327909:WDS327913 WNN327909:WNO327913 WXJ327909:WXK327913 BB393445:BC393449 KX393445:KY393449 UT393445:UU393449 AEP393445:AEQ393449 AOL393445:AOM393449 AYH393445:AYI393449 BID393445:BIE393449 BRZ393445:BSA393449 CBV393445:CBW393449 CLR393445:CLS393449 CVN393445:CVO393449 DFJ393445:DFK393449 DPF393445:DPG393449 DZB393445:DZC393449 EIX393445:EIY393449 EST393445:ESU393449 FCP393445:FCQ393449 FML393445:FMM393449 FWH393445:FWI393449 GGD393445:GGE393449 GPZ393445:GQA393449 GZV393445:GZW393449 HJR393445:HJS393449 HTN393445:HTO393449 IDJ393445:IDK393449 INF393445:ING393449 IXB393445:IXC393449 JGX393445:JGY393449 JQT393445:JQU393449 KAP393445:KAQ393449 KKL393445:KKM393449 KUH393445:KUI393449 LED393445:LEE393449 LNZ393445:LOA393449 LXV393445:LXW393449 MHR393445:MHS393449 MRN393445:MRO393449 NBJ393445:NBK393449 NLF393445:NLG393449 NVB393445:NVC393449 OEX393445:OEY393449 OOT393445:OOU393449 OYP393445:OYQ393449 PIL393445:PIM393449 PSH393445:PSI393449 QCD393445:QCE393449 QLZ393445:QMA393449 QVV393445:QVW393449 RFR393445:RFS393449 RPN393445:RPO393449 RZJ393445:RZK393449 SJF393445:SJG393449 STB393445:STC393449 TCX393445:TCY393449 TMT393445:TMU393449 TWP393445:TWQ393449 UGL393445:UGM393449 UQH393445:UQI393449 VAD393445:VAE393449 VJZ393445:VKA393449 VTV393445:VTW393449 WDR393445:WDS393449 WNN393445:WNO393449 WXJ393445:WXK393449 BB458981:BC458985 KX458981:KY458985 UT458981:UU458985 AEP458981:AEQ458985 AOL458981:AOM458985 AYH458981:AYI458985 BID458981:BIE458985 BRZ458981:BSA458985 CBV458981:CBW458985 CLR458981:CLS458985 CVN458981:CVO458985 DFJ458981:DFK458985 DPF458981:DPG458985 DZB458981:DZC458985 EIX458981:EIY458985 EST458981:ESU458985 FCP458981:FCQ458985 FML458981:FMM458985 FWH458981:FWI458985 GGD458981:GGE458985 GPZ458981:GQA458985 GZV458981:GZW458985 HJR458981:HJS458985 HTN458981:HTO458985 IDJ458981:IDK458985 INF458981:ING458985 IXB458981:IXC458985 JGX458981:JGY458985 JQT458981:JQU458985 KAP458981:KAQ458985 KKL458981:KKM458985 KUH458981:KUI458985 LED458981:LEE458985 LNZ458981:LOA458985 LXV458981:LXW458985 MHR458981:MHS458985 MRN458981:MRO458985 NBJ458981:NBK458985 NLF458981:NLG458985 NVB458981:NVC458985 OEX458981:OEY458985 OOT458981:OOU458985 OYP458981:OYQ458985 PIL458981:PIM458985 PSH458981:PSI458985 QCD458981:QCE458985 QLZ458981:QMA458985 QVV458981:QVW458985 RFR458981:RFS458985 RPN458981:RPO458985 RZJ458981:RZK458985 SJF458981:SJG458985 STB458981:STC458985 TCX458981:TCY458985 TMT458981:TMU458985 TWP458981:TWQ458985 UGL458981:UGM458985 UQH458981:UQI458985 VAD458981:VAE458985 VJZ458981:VKA458985 VTV458981:VTW458985 WDR458981:WDS458985 WNN458981:WNO458985 WXJ458981:WXK458985 BB524517:BC524521 KX524517:KY524521 UT524517:UU524521 AEP524517:AEQ524521 AOL524517:AOM524521 AYH524517:AYI524521 BID524517:BIE524521 BRZ524517:BSA524521 CBV524517:CBW524521 CLR524517:CLS524521 CVN524517:CVO524521 DFJ524517:DFK524521 DPF524517:DPG524521 DZB524517:DZC524521 EIX524517:EIY524521 EST524517:ESU524521 FCP524517:FCQ524521 FML524517:FMM524521 FWH524517:FWI524521 GGD524517:GGE524521 GPZ524517:GQA524521 GZV524517:GZW524521 HJR524517:HJS524521 HTN524517:HTO524521 IDJ524517:IDK524521 INF524517:ING524521 IXB524517:IXC524521 JGX524517:JGY524521 JQT524517:JQU524521 KAP524517:KAQ524521 KKL524517:KKM524521 KUH524517:KUI524521 LED524517:LEE524521 LNZ524517:LOA524521 LXV524517:LXW524521 MHR524517:MHS524521 MRN524517:MRO524521 NBJ524517:NBK524521 NLF524517:NLG524521 NVB524517:NVC524521 OEX524517:OEY524521 OOT524517:OOU524521 OYP524517:OYQ524521 PIL524517:PIM524521 PSH524517:PSI524521 QCD524517:QCE524521 QLZ524517:QMA524521 QVV524517:QVW524521 RFR524517:RFS524521 RPN524517:RPO524521 RZJ524517:RZK524521 SJF524517:SJG524521 STB524517:STC524521 TCX524517:TCY524521 TMT524517:TMU524521 TWP524517:TWQ524521 UGL524517:UGM524521 UQH524517:UQI524521 VAD524517:VAE524521 VJZ524517:VKA524521 VTV524517:VTW524521 WDR524517:WDS524521 WNN524517:WNO524521 WXJ524517:WXK524521 BB590053:BC590057 KX590053:KY590057 UT590053:UU590057 AEP590053:AEQ590057 AOL590053:AOM590057 AYH590053:AYI590057 BID590053:BIE590057 BRZ590053:BSA590057 CBV590053:CBW590057 CLR590053:CLS590057 CVN590053:CVO590057 DFJ590053:DFK590057 DPF590053:DPG590057 DZB590053:DZC590057 EIX590053:EIY590057 EST590053:ESU590057 FCP590053:FCQ590057 FML590053:FMM590057 FWH590053:FWI590057 GGD590053:GGE590057 GPZ590053:GQA590057 GZV590053:GZW590057 HJR590053:HJS590057 HTN590053:HTO590057 IDJ590053:IDK590057 INF590053:ING590057 IXB590053:IXC590057 JGX590053:JGY590057 JQT590053:JQU590057 KAP590053:KAQ590057 KKL590053:KKM590057 KUH590053:KUI590057 LED590053:LEE590057 LNZ590053:LOA590057 LXV590053:LXW590057 MHR590053:MHS590057 MRN590053:MRO590057 NBJ590053:NBK590057 NLF590053:NLG590057 NVB590053:NVC590057 OEX590053:OEY590057 OOT590053:OOU590057 OYP590053:OYQ590057 PIL590053:PIM590057 PSH590053:PSI590057 QCD590053:QCE590057 QLZ590053:QMA590057 QVV590053:QVW590057 RFR590053:RFS590057 RPN590053:RPO590057 RZJ590053:RZK590057 SJF590053:SJG590057 STB590053:STC590057 TCX590053:TCY590057 TMT590053:TMU590057 TWP590053:TWQ590057 UGL590053:UGM590057 UQH590053:UQI590057 VAD590053:VAE590057 VJZ590053:VKA590057 VTV590053:VTW590057 WDR590053:WDS590057 WNN590053:WNO590057 WXJ590053:WXK590057 BB655589:BC655593 KX655589:KY655593 UT655589:UU655593 AEP655589:AEQ655593 AOL655589:AOM655593 AYH655589:AYI655593 BID655589:BIE655593 BRZ655589:BSA655593 CBV655589:CBW655593 CLR655589:CLS655593 CVN655589:CVO655593 DFJ655589:DFK655593 DPF655589:DPG655593 DZB655589:DZC655593 EIX655589:EIY655593 EST655589:ESU655593 FCP655589:FCQ655593 FML655589:FMM655593 FWH655589:FWI655593 GGD655589:GGE655593 GPZ655589:GQA655593 GZV655589:GZW655593 HJR655589:HJS655593 HTN655589:HTO655593 IDJ655589:IDK655593 INF655589:ING655593 IXB655589:IXC655593 JGX655589:JGY655593 JQT655589:JQU655593 KAP655589:KAQ655593 KKL655589:KKM655593 KUH655589:KUI655593 LED655589:LEE655593 LNZ655589:LOA655593 LXV655589:LXW655593 MHR655589:MHS655593 MRN655589:MRO655593 NBJ655589:NBK655593 NLF655589:NLG655593 NVB655589:NVC655593 OEX655589:OEY655593 OOT655589:OOU655593 OYP655589:OYQ655593 PIL655589:PIM655593 PSH655589:PSI655593 QCD655589:QCE655593 QLZ655589:QMA655593 QVV655589:QVW655593 RFR655589:RFS655593 RPN655589:RPO655593 RZJ655589:RZK655593 SJF655589:SJG655593 STB655589:STC655593 TCX655589:TCY655593 TMT655589:TMU655593 TWP655589:TWQ655593 UGL655589:UGM655593 UQH655589:UQI655593 VAD655589:VAE655593 VJZ655589:VKA655593 VTV655589:VTW655593 WDR655589:WDS655593 WNN655589:WNO655593 WXJ655589:WXK655593 BB721125:BC721129 KX721125:KY721129 UT721125:UU721129 AEP721125:AEQ721129 AOL721125:AOM721129 AYH721125:AYI721129 BID721125:BIE721129 BRZ721125:BSA721129 CBV721125:CBW721129 CLR721125:CLS721129 CVN721125:CVO721129 DFJ721125:DFK721129 DPF721125:DPG721129 DZB721125:DZC721129 EIX721125:EIY721129 EST721125:ESU721129 FCP721125:FCQ721129 FML721125:FMM721129 FWH721125:FWI721129 GGD721125:GGE721129 GPZ721125:GQA721129 GZV721125:GZW721129 HJR721125:HJS721129 HTN721125:HTO721129 IDJ721125:IDK721129 INF721125:ING721129 IXB721125:IXC721129 JGX721125:JGY721129 JQT721125:JQU721129 KAP721125:KAQ721129 KKL721125:KKM721129 KUH721125:KUI721129 LED721125:LEE721129 LNZ721125:LOA721129 LXV721125:LXW721129 MHR721125:MHS721129 MRN721125:MRO721129 NBJ721125:NBK721129 NLF721125:NLG721129 NVB721125:NVC721129 OEX721125:OEY721129 OOT721125:OOU721129 OYP721125:OYQ721129 PIL721125:PIM721129 PSH721125:PSI721129 QCD721125:QCE721129 QLZ721125:QMA721129 QVV721125:QVW721129 RFR721125:RFS721129 RPN721125:RPO721129 RZJ721125:RZK721129 SJF721125:SJG721129 STB721125:STC721129 TCX721125:TCY721129 TMT721125:TMU721129 TWP721125:TWQ721129 UGL721125:UGM721129 UQH721125:UQI721129 VAD721125:VAE721129 VJZ721125:VKA721129 VTV721125:VTW721129 WDR721125:WDS721129 WNN721125:WNO721129 WXJ721125:WXK721129 BB786661:BC786665 KX786661:KY786665 UT786661:UU786665 AEP786661:AEQ786665 AOL786661:AOM786665 AYH786661:AYI786665 BID786661:BIE786665 BRZ786661:BSA786665 CBV786661:CBW786665 CLR786661:CLS786665 CVN786661:CVO786665 DFJ786661:DFK786665 DPF786661:DPG786665 DZB786661:DZC786665 EIX786661:EIY786665 EST786661:ESU786665 FCP786661:FCQ786665 FML786661:FMM786665 FWH786661:FWI786665 GGD786661:GGE786665 GPZ786661:GQA786665 GZV786661:GZW786665 HJR786661:HJS786665 HTN786661:HTO786665 IDJ786661:IDK786665 INF786661:ING786665 IXB786661:IXC786665 JGX786661:JGY786665 JQT786661:JQU786665 KAP786661:KAQ786665 KKL786661:KKM786665 KUH786661:KUI786665 LED786661:LEE786665 LNZ786661:LOA786665 LXV786661:LXW786665 MHR786661:MHS786665 MRN786661:MRO786665 NBJ786661:NBK786665 NLF786661:NLG786665 NVB786661:NVC786665 OEX786661:OEY786665 OOT786661:OOU786665 OYP786661:OYQ786665 PIL786661:PIM786665 PSH786661:PSI786665 QCD786661:QCE786665 QLZ786661:QMA786665 QVV786661:QVW786665 RFR786661:RFS786665 RPN786661:RPO786665 RZJ786661:RZK786665 SJF786661:SJG786665 STB786661:STC786665 TCX786661:TCY786665 TMT786661:TMU786665 TWP786661:TWQ786665 UGL786661:UGM786665 UQH786661:UQI786665 VAD786661:VAE786665 VJZ786661:VKA786665 VTV786661:VTW786665 WDR786661:WDS786665 WNN786661:WNO786665 WXJ786661:WXK786665 BB852197:BC852201 KX852197:KY852201 UT852197:UU852201 AEP852197:AEQ852201 AOL852197:AOM852201 AYH852197:AYI852201 BID852197:BIE852201 BRZ852197:BSA852201 CBV852197:CBW852201 CLR852197:CLS852201 CVN852197:CVO852201 DFJ852197:DFK852201 DPF852197:DPG852201 DZB852197:DZC852201 EIX852197:EIY852201 EST852197:ESU852201 FCP852197:FCQ852201 FML852197:FMM852201 FWH852197:FWI852201 GGD852197:GGE852201 GPZ852197:GQA852201 GZV852197:GZW852201 HJR852197:HJS852201 HTN852197:HTO852201 IDJ852197:IDK852201 INF852197:ING852201 IXB852197:IXC852201 JGX852197:JGY852201 JQT852197:JQU852201 KAP852197:KAQ852201 KKL852197:KKM852201 KUH852197:KUI852201 LED852197:LEE852201 LNZ852197:LOA852201 LXV852197:LXW852201 MHR852197:MHS852201 MRN852197:MRO852201 NBJ852197:NBK852201 NLF852197:NLG852201 NVB852197:NVC852201 OEX852197:OEY852201 OOT852197:OOU852201 OYP852197:OYQ852201 PIL852197:PIM852201 PSH852197:PSI852201 QCD852197:QCE852201 QLZ852197:QMA852201 QVV852197:QVW852201 RFR852197:RFS852201 RPN852197:RPO852201 RZJ852197:RZK852201 SJF852197:SJG852201 STB852197:STC852201 TCX852197:TCY852201 TMT852197:TMU852201 TWP852197:TWQ852201 UGL852197:UGM852201 UQH852197:UQI852201 VAD852197:VAE852201 VJZ852197:VKA852201 VTV852197:VTW852201 WDR852197:WDS852201 WNN852197:WNO852201 WXJ852197:WXK852201 BB917733:BC917737 KX917733:KY917737 UT917733:UU917737 AEP917733:AEQ917737 AOL917733:AOM917737 AYH917733:AYI917737 BID917733:BIE917737 BRZ917733:BSA917737 CBV917733:CBW917737 CLR917733:CLS917737 CVN917733:CVO917737 DFJ917733:DFK917737 DPF917733:DPG917737 DZB917733:DZC917737 EIX917733:EIY917737 EST917733:ESU917737 FCP917733:FCQ917737 FML917733:FMM917737 FWH917733:FWI917737 GGD917733:GGE917737 GPZ917733:GQA917737 GZV917733:GZW917737 HJR917733:HJS917737 HTN917733:HTO917737 IDJ917733:IDK917737 INF917733:ING917737 IXB917733:IXC917737 JGX917733:JGY917737 JQT917733:JQU917737 KAP917733:KAQ917737 KKL917733:KKM917737 KUH917733:KUI917737 LED917733:LEE917737 LNZ917733:LOA917737 LXV917733:LXW917737 MHR917733:MHS917737 MRN917733:MRO917737 NBJ917733:NBK917737 NLF917733:NLG917737 NVB917733:NVC917737 OEX917733:OEY917737 OOT917733:OOU917737 OYP917733:OYQ917737 PIL917733:PIM917737 PSH917733:PSI917737 QCD917733:QCE917737 QLZ917733:QMA917737 QVV917733:QVW917737 RFR917733:RFS917737 RPN917733:RPO917737 RZJ917733:RZK917737 SJF917733:SJG917737 STB917733:STC917737 TCX917733:TCY917737 TMT917733:TMU917737 TWP917733:TWQ917737 UGL917733:UGM917737 UQH917733:UQI917737 VAD917733:VAE917737 VJZ917733:VKA917737 VTV917733:VTW917737 WDR917733:WDS917737 WNN917733:WNO917737 WXJ917733:WXK917737 BB983269:BC983273 KX983269:KY983273 UT983269:UU983273 AEP983269:AEQ983273 AOL983269:AOM983273 AYH983269:AYI983273 BID983269:BIE983273 BRZ983269:BSA983273 CBV983269:CBW983273 CLR983269:CLS983273 CVN983269:CVO983273 DFJ983269:DFK983273 DPF983269:DPG983273 DZB983269:DZC983273 EIX983269:EIY983273 EST983269:ESU983273 FCP983269:FCQ983273 FML983269:FMM983273 FWH983269:FWI983273 GGD983269:GGE983273 GPZ983269:GQA983273 GZV983269:GZW983273 HJR983269:HJS983273 HTN983269:HTO983273 IDJ983269:IDK983273 INF983269:ING983273 IXB983269:IXC983273 JGX983269:JGY983273 JQT983269:JQU983273 KAP983269:KAQ983273 KKL983269:KKM983273 KUH983269:KUI983273 LED983269:LEE983273 LNZ983269:LOA983273 LXV983269:LXW983273 MHR983269:MHS983273 MRN983269:MRO983273 NBJ983269:NBK983273 NLF983269:NLG983273 NVB983269:NVC983273 OEX983269:OEY983273 OOT983269:OOU983273 OYP983269:OYQ983273 PIL983269:PIM983273 PSH983269:PSI983273 QCD983269:QCE983273 QLZ983269:QMA983273 QVV983269:QVW983273 RFR983269:RFS983273 RPN983269:RPO983273 RZJ983269:RZK983273 SJF983269:SJG983273 STB983269:STC983273 TCX983269:TCY983273 TMT983269:TMU983273 TWP983269:TWQ983273 UGL983269:UGM983273 UQH983269:UQI983273 VAD983269:VAE983273 VJZ983269:VKA983273 VTV983269:VTW983273 WDR983269:WDS983273 WNN983269:WNO983273 WXJ983269:WXK983273 T199:U200 JP202 TL202 ADH202 AND202 AWZ202 BGV202 BQR202 CAN202 CKJ202 CUF202 DEB202 DNX202 DXT202 EHP202 ERL202 FBH202 FLD202 FUZ202 GEV202 GOR202 GYN202 HIJ202 HSF202 ICB202 ILX202 IVT202 JFP202 JPL202 JZH202 KJD202 KSZ202 LCV202 LMR202 LWN202 MGJ202 MQF202 NAB202 NJX202 NTT202 ODP202 ONL202 OXH202 PHD202 PQZ202 QAV202 QKR202 QUN202 REJ202 ROF202 RYB202 SHX202 SRT202 TBP202 TLL202 TVH202 UFD202 UOZ202 UYV202 VIR202 VSN202 WCJ202 WMF202 WWB202 T65738 JP65738 TL65738 ADH65738 AND65738 AWZ65738 BGV65738 BQR65738 CAN65738 CKJ65738 CUF65738 DEB65738 DNX65738 DXT65738 EHP65738 ERL65738 FBH65738 FLD65738 FUZ65738 GEV65738 GOR65738 GYN65738 HIJ65738 HSF65738 ICB65738 ILX65738 IVT65738 JFP65738 JPL65738 JZH65738 KJD65738 KSZ65738 LCV65738 LMR65738 LWN65738 MGJ65738 MQF65738 NAB65738 NJX65738 NTT65738 ODP65738 ONL65738 OXH65738 PHD65738 PQZ65738 QAV65738 QKR65738 QUN65738 REJ65738 ROF65738 RYB65738 SHX65738 SRT65738 TBP65738 TLL65738 TVH65738 UFD65738 UOZ65738 UYV65738 VIR65738 VSN65738 WCJ65738 WMF65738 WWB65738 T131274 JP131274 TL131274 ADH131274 AND131274 AWZ131274 BGV131274 BQR131274 CAN131274 CKJ131274 CUF131274 DEB131274 DNX131274 DXT131274 EHP131274 ERL131274 FBH131274 FLD131274 FUZ131274 GEV131274 GOR131274 GYN131274 HIJ131274 HSF131274 ICB131274 ILX131274 IVT131274 JFP131274 JPL131274 JZH131274 KJD131274 KSZ131274 LCV131274 LMR131274 LWN131274 MGJ131274 MQF131274 NAB131274 NJX131274 NTT131274 ODP131274 ONL131274 OXH131274 PHD131274 PQZ131274 QAV131274 QKR131274 QUN131274 REJ131274 ROF131274 RYB131274 SHX131274 SRT131274 TBP131274 TLL131274 TVH131274 UFD131274 UOZ131274 UYV131274 VIR131274 VSN131274 WCJ131274 WMF131274 WWB131274 T196810 JP196810 TL196810 ADH196810 AND196810 AWZ196810 BGV196810 BQR196810 CAN196810 CKJ196810 CUF196810 DEB196810 DNX196810 DXT196810 EHP196810 ERL196810 FBH196810 FLD196810 FUZ196810 GEV196810 GOR196810 GYN196810 HIJ196810 HSF196810 ICB196810 ILX196810 IVT196810 JFP196810 JPL196810 JZH196810 KJD196810 KSZ196810 LCV196810 LMR196810 LWN196810 MGJ196810 MQF196810 NAB196810 NJX196810 NTT196810 ODP196810 ONL196810 OXH196810 PHD196810 PQZ196810 QAV196810 QKR196810 QUN196810 REJ196810 ROF196810 RYB196810 SHX196810 SRT196810 TBP196810 TLL196810 TVH196810 UFD196810 UOZ196810 UYV196810 VIR196810 VSN196810 WCJ196810 WMF196810 WWB196810 T262346 JP262346 TL262346 ADH262346 AND262346 AWZ262346 BGV262346 BQR262346 CAN262346 CKJ262346 CUF262346 DEB262346 DNX262346 DXT262346 EHP262346 ERL262346 FBH262346 FLD262346 FUZ262346 GEV262346 GOR262346 GYN262346 HIJ262346 HSF262346 ICB262346 ILX262346 IVT262346 JFP262346 JPL262346 JZH262346 KJD262346 KSZ262346 LCV262346 LMR262346 LWN262346 MGJ262346 MQF262346 NAB262346 NJX262346 NTT262346 ODP262346 ONL262346 OXH262346 PHD262346 PQZ262346 QAV262346 QKR262346 QUN262346 REJ262346 ROF262346 RYB262346 SHX262346 SRT262346 TBP262346 TLL262346 TVH262346 UFD262346 UOZ262346 UYV262346 VIR262346 VSN262346 WCJ262346 WMF262346 WWB262346 T327882 JP327882 TL327882 ADH327882 AND327882 AWZ327882 BGV327882 BQR327882 CAN327882 CKJ327882 CUF327882 DEB327882 DNX327882 DXT327882 EHP327882 ERL327882 FBH327882 FLD327882 FUZ327882 GEV327882 GOR327882 GYN327882 HIJ327882 HSF327882 ICB327882 ILX327882 IVT327882 JFP327882 JPL327882 JZH327882 KJD327882 KSZ327882 LCV327882 LMR327882 LWN327882 MGJ327882 MQF327882 NAB327882 NJX327882 NTT327882 ODP327882 ONL327882 OXH327882 PHD327882 PQZ327882 QAV327882 QKR327882 QUN327882 REJ327882 ROF327882 RYB327882 SHX327882 SRT327882 TBP327882 TLL327882 TVH327882 UFD327882 UOZ327882 UYV327882 VIR327882 VSN327882 WCJ327882 WMF327882 WWB327882 T393418 JP393418 TL393418 ADH393418 AND393418 AWZ393418 BGV393418 BQR393418 CAN393418 CKJ393418 CUF393418 DEB393418 DNX393418 DXT393418 EHP393418 ERL393418 FBH393418 FLD393418 FUZ393418 GEV393418 GOR393418 GYN393418 HIJ393418 HSF393418 ICB393418 ILX393418 IVT393418 JFP393418 JPL393418 JZH393418 KJD393418 KSZ393418 LCV393418 LMR393418 LWN393418 MGJ393418 MQF393418 NAB393418 NJX393418 NTT393418 ODP393418 ONL393418 OXH393418 PHD393418 PQZ393418 QAV393418 QKR393418 QUN393418 REJ393418 ROF393418 RYB393418 SHX393418 SRT393418 TBP393418 TLL393418 TVH393418 UFD393418 UOZ393418 UYV393418 VIR393418 VSN393418 WCJ393418 WMF393418 WWB393418 T458954 JP458954 TL458954 ADH458954 AND458954 AWZ458954 BGV458954 BQR458954 CAN458954 CKJ458954 CUF458954 DEB458954 DNX458954 DXT458954 EHP458954 ERL458954 FBH458954 FLD458954 FUZ458954 GEV458954 GOR458954 GYN458954 HIJ458954 HSF458954 ICB458954 ILX458954 IVT458954 JFP458954 JPL458954 JZH458954 KJD458954 KSZ458954 LCV458954 LMR458954 LWN458954 MGJ458954 MQF458954 NAB458954 NJX458954 NTT458954 ODP458954 ONL458954 OXH458954 PHD458954 PQZ458954 QAV458954 QKR458954 QUN458954 REJ458954 ROF458954 RYB458954 SHX458954 SRT458954 TBP458954 TLL458954 TVH458954 UFD458954 UOZ458954 UYV458954 VIR458954 VSN458954 WCJ458954 WMF458954 WWB458954 T524490 JP524490 TL524490 ADH524490 AND524490 AWZ524490 BGV524490 BQR524490 CAN524490 CKJ524490 CUF524490 DEB524490 DNX524490 DXT524490 EHP524490 ERL524490 FBH524490 FLD524490 FUZ524490 GEV524490 GOR524490 GYN524490 HIJ524490 HSF524490 ICB524490 ILX524490 IVT524490 JFP524490 JPL524490 JZH524490 KJD524490 KSZ524490 LCV524490 LMR524490 LWN524490 MGJ524490 MQF524490 NAB524490 NJX524490 NTT524490 ODP524490 ONL524490 OXH524490 PHD524490 PQZ524490 QAV524490 QKR524490 QUN524490 REJ524490 ROF524490 RYB524490 SHX524490 SRT524490 TBP524490 TLL524490 TVH524490 UFD524490 UOZ524490 UYV524490 VIR524490 VSN524490 WCJ524490 WMF524490 WWB524490 T590026 JP590026 TL590026 ADH590026 AND590026 AWZ590026 BGV590026 BQR590026 CAN590026 CKJ590026 CUF590026 DEB590026 DNX590026 DXT590026 EHP590026 ERL590026 FBH590026 FLD590026 FUZ590026 GEV590026 GOR590026 GYN590026 HIJ590026 HSF590026 ICB590026 ILX590026 IVT590026 JFP590026 JPL590026 JZH590026 KJD590026 KSZ590026 LCV590026 LMR590026 LWN590026 MGJ590026 MQF590026 NAB590026 NJX590026 NTT590026 ODP590026 ONL590026 OXH590026 PHD590026 PQZ590026 QAV590026 QKR590026 QUN590026 REJ590026 ROF590026 RYB590026 SHX590026 SRT590026 TBP590026 TLL590026 TVH590026 UFD590026 UOZ590026 UYV590026 VIR590026 VSN590026 WCJ590026 WMF590026 WWB590026 T655562 JP655562 TL655562 ADH655562 AND655562 AWZ655562 BGV655562 BQR655562 CAN655562 CKJ655562 CUF655562 DEB655562 DNX655562 DXT655562 EHP655562 ERL655562 FBH655562 FLD655562 FUZ655562 GEV655562 GOR655562 GYN655562 HIJ655562 HSF655562 ICB655562 ILX655562 IVT655562 JFP655562 JPL655562 JZH655562 KJD655562 KSZ655562 LCV655562 LMR655562 LWN655562 MGJ655562 MQF655562 NAB655562 NJX655562 NTT655562 ODP655562 ONL655562 OXH655562 PHD655562 PQZ655562 QAV655562 QKR655562 QUN655562 REJ655562 ROF655562 RYB655562 SHX655562 SRT655562 TBP655562 TLL655562 TVH655562 UFD655562 UOZ655562 UYV655562 VIR655562 VSN655562 WCJ655562 WMF655562 WWB655562 T721098 JP721098 TL721098 ADH721098 AND721098 AWZ721098 BGV721098 BQR721098 CAN721098 CKJ721098 CUF721098 DEB721098 DNX721098 DXT721098 EHP721098 ERL721098 FBH721098 FLD721098 FUZ721098 GEV721098 GOR721098 GYN721098 HIJ721098 HSF721098 ICB721098 ILX721098 IVT721098 JFP721098 JPL721098 JZH721098 KJD721098 KSZ721098 LCV721098 LMR721098 LWN721098 MGJ721098 MQF721098 NAB721098 NJX721098 NTT721098 ODP721098 ONL721098 OXH721098 PHD721098 PQZ721098 QAV721098 QKR721098 QUN721098 REJ721098 ROF721098 RYB721098 SHX721098 SRT721098 TBP721098 TLL721098 TVH721098 UFD721098 UOZ721098 UYV721098 VIR721098 VSN721098 WCJ721098 WMF721098 WWB721098 T786634 JP786634 TL786634 ADH786634 AND786634 AWZ786634 BGV786634 BQR786634 CAN786634 CKJ786634 CUF786634 DEB786634 DNX786634 DXT786634 EHP786634 ERL786634 FBH786634 FLD786634 FUZ786634 GEV786634 GOR786634 GYN786634 HIJ786634 HSF786634 ICB786634 ILX786634 IVT786634 JFP786634 JPL786634 JZH786634 KJD786634 KSZ786634 LCV786634 LMR786634 LWN786634 MGJ786634 MQF786634 NAB786634 NJX786634 NTT786634 ODP786634 ONL786634 OXH786634 PHD786634 PQZ786634 QAV786634 QKR786634 QUN786634 REJ786634 ROF786634 RYB786634 SHX786634 SRT786634 TBP786634 TLL786634 TVH786634 UFD786634 UOZ786634 UYV786634 VIR786634 VSN786634 WCJ786634 WMF786634 WWB786634 T852170 JP852170 TL852170 ADH852170 AND852170 AWZ852170 BGV852170 BQR852170 CAN852170 CKJ852170 CUF852170 DEB852170 DNX852170 DXT852170 EHP852170 ERL852170 FBH852170 FLD852170 FUZ852170 GEV852170 GOR852170 GYN852170 HIJ852170 HSF852170 ICB852170 ILX852170 IVT852170 JFP852170 JPL852170 JZH852170 KJD852170 KSZ852170 LCV852170 LMR852170 LWN852170 MGJ852170 MQF852170 NAB852170 NJX852170 NTT852170 ODP852170 ONL852170 OXH852170 PHD852170 PQZ852170 QAV852170 QKR852170 QUN852170 REJ852170 ROF852170 RYB852170 SHX852170 SRT852170 TBP852170 TLL852170 TVH852170 UFD852170 UOZ852170 UYV852170 VIR852170 VSN852170 WCJ852170 WMF852170 WWB852170 T917706 JP917706 TL917706 ADH917706 AND917706 AWZ917706 BGV917706 BQR917706 CAN917706 CKJ917706 CUF917706 DEB917706 DNX917706 DXT917706 EHP917706 ERL917706 FBH917706 FLD917706 FUZ917706 GEV917706 GOR917706 GYN917706 HIJ917706 HSF917706 ICB917706 ILX917706 IVT917706 JFP917706 JPL917706 JZH917706 KJD917706 KSZ917706 LCV917706 LMR917706 LWN917706 MGJ917706 MQF917706 NAB917706 NJX917706 NTT917706 ODP917706 ONL917706 OXH917706 PHD917706 PQZ917706 QAV917706 QKR917706 QUN917706 REJ917706 ROF917706 RYB917706 SHX917706 SRT917706 TBP917706 TLL917706 TVH917706 UFD917706 UOZ917706 UYV917706 VIR917706 VSN917706 WCJ917706 WMF917706 WWB917706 T983242 JP983242 TL983242 ADH983242 AND983242 AWZ983242 BGV983242 BQR983242 CAN983242 CKJ983242 CUF983242 DEB983242 DNX983242 DXT983242 EHP983242 ERL983242 FBH983242 FLD983242 FUZ983242 GEV983242 GOR983242 GYN983242 HIJ983242 HSF983242 ICB983242 ILX983242 IVT983242 JFP983242 JPL983242 JZH983242 KJD983242 KSZ983242 LCV983242 LMR983242 LWN983242 MGJ983242 MQF983242 NAB983242 NJX983242 NTT983242 ODP983242 ONL983242 OXH983242 PHD983242 PQZ983242 QAV983242 QKR983242 QUN983242 REJ983242 ROF983242 RYB983242 SHX983242 SRT983242 TBP983242 TLL983242 TVH983242 UFD983242 UOZ983242 UYV983242 VIR983242 VSN983242 WCJ983242 WMF983242 WWB983242 AN195:AO196 JP199 TL199 ADH199 AND199 AWZ199 BGV199 BQR199 CAN199 CKJ199 CUF199 DEB199 DNX199 DXT199 EHP199 ERL199 FBH199 FLD199 FUZ199 GEV199 GOR199 GYN199 HIJ199 HSF199 ICB199 ILX199 IVT199 JFP199 JPL199 JZH199 KJD199 KSZ199 LCV199 LMR199 LWN199 MGJ199 MQF199 NAB199 NJX199 NTT199 ODP199 ONL199 OXH199 PHD199 PQZ199 QAV199 QKR199 QUN199 REJ199 ROF199 RYB199 SHX199 SRT199 TBP199 TLL199 TVH199 UFD199 UOZ199 UYV199 VIR199 VSN199 WCJ199 WMF199 WWB199 T65735 JP65735 TL65735 ADH65735 AND65735 AWZ65735 BGV65735 BQR65735 CAN65735 CKJ65735 CUF65735 DEB65735 DNX65735 DXT65735 EHP65735 ERL65735 FBH65735 FLD65735 FUZ65735 GEV65735 GOR65735 GYN65735 HIJ65735 HSF65735 ICB65735 ILX65735 IVT65735 JFP65735 JPL65735 JZH65735 KJD65735 KSZ65735 LCV65735 LMR65735 LWN65735 MGJ65735 MQF65735 NAB65735 NJX65735 NTT65735 ODP65735 ONL65735 OXH65735 PHD65735 PQZ65735 QAV65735 QKR65735 QUN65735 REJ65735 ROF65735 RYB65735 SHX65735 SRT65735 TBP65735 TLL65735 TVH65735 UFD65735 UOZ65735 UYV65735 VIR65735 VSN65735 WCJ65735 WMF65735 WWB65735 T131271 JP131271 TL131271 ADH131271 AND131271 AWZ131271 BGV131271 BQR131271 CAN131271 CKJ131271 CUF131271 DEB131271 DNX131271 DXT131271 EHP131271 ERL131271 FBH131271 FLD131271 FUZ131271 GEV131271 GOR131271 GYN131271 HIJ131271 HSF131271 ICB131271 ILX131271 IVT131271 JFP131271 JPL131271 JZH131271 KJD131271 KSZ131271 LCV131271 LMR131271 LWN131271 MGJ131271 MQF131271 NAB131271 NJX131271 NTT131271 ODP131271 ONL131271 OXH131271 PHD131271 PQZ131271 QAV131271 QKR131271 QUN131271 REJ131271 ROF131271 RYB131271 SHX131271 SRT131271 TBP131271 TLL131271 TVH131271 UFD131271 UOZ131271 UYV131271 VIR131271 VSN131271 WCJ131271 WMF131271 WWB131271 T196807 JP196807 TL196807 ADH196807 AND196807 AWZ196807 BGV196807 BQR196807 CAN196807 CKJ196807 CUF196807 DEB196807 DNX196807 DXT196807 EHP196807 ERL196807 FBH196807 FLD196807 FUZ196807 GEV196807 GOR196807 GYN196807 HIJ196807 HSF196807 ICB196807 ILX196807 IVT196807 JFP196807 JPL196807 JZH196807 KJD196807 KSZ196807 LCV196807 LMR196807 LWN196807 MGJ196807 MQF196807 NAB196807 NJX196807 NTT196807 ODP196807 ONL196807 OXH196807 PHD196807 PQZ196807 QAV196807 QKR196807 QUN196807 REJ196807 ROF196807 RYB196807 SHX196807 SRT196807 TBP196807 TLL196807 TVH196807 UFD196807 UOZ196807 UYV196807 VIR196807 VSN196807 WCJ196807 WMF196807 WWB196807 T262343 JP262343 TL262343 ADH262343 AND262343 AWZ262343 BGV262343 BQR262343 CAN262343 CKJ262343 CUF262343 DEB262343 DNX262343 DXT262343 EHP262343 ERL262343 FBH262343 FLD262343 FUZ262343 GEV262343 GOR262343 GYN262343 HIJ262343 HSF262343 ICB262343 ILX262343 IVT262343 JFP262343 JPL262343 JZH262343 KJD262343 KSZ262343 LCV262343 LMR262343 LWN262343 MGJ262343 MQF262343 NAB262343 NJX262343 NTT262343 ODP262343 ONL262343 OXH262343 PHD262343 PQZ262343 QAV262343 QKR262343 QUN262343 REJ262343 ROF262343 RYB262343 SHX262343 SRT262343 TBP262343 TLL262343 TVH262343 UFD262343 UOZ262343 UYV262343 VIR262343 VSN262343 WCJ262343 WMF262343 WWB262343 T327879 JP327879 TL327879 ADH327879 AND327879 AWZ327879 BGV327879 BQR327879 CAN327879 CKJ327879 CUF327879 DEB327879 DNX327879 DXT327879 EHP327879 ERL327879 FBH327879 FLD327879 FUZ327879 GEV327879 GOR327879 GYN327879 HIJ327879 HSF327879 ICB327879 ILX327879 IVT327879 JFP327879 JPL327879 JZH327879 KJD327879 KSZ327879 LCV327879 LMR327879 LWN327879 MGJ327879 MQF327879 NAB327879 NJX327879 NTT327879 ODP327879 ONL327879 OXH327879 PHD327879 PQZ327879 QAV327879 QKR327879 QUN327879 REJ327879 ROF327879 RYB327879 SHX327879 SRT327879 TBP327879 TLL327879 TVH327879 UFD327879 UOZ327879 UYV327879 VIR327879 VSN327879 WCJ327879 WMF327879 WWB327879 T393415 JP393415 TL393415 ADH393415 AND393415 AWZ393415 BGV393415 BQR393415 CAN393415 CKJ393415 CUF393415 DEB393415 DNX393415 DXT393415 EHP393415 ERL393415 FBH393415 FLD393415 FUZ393415 GEV393415 GOR393415 GYN393415 HIJ393415 HSF393415 ICB393415 ILX393415 IVT393415 JFP393415 JPL393415 JZH393415 KJD393415 KSZ393415 LCV393415 LMR393415 LWN393415 MGJ393415 MQF393415 NAB393415 NJX393415 NTT393415 ODP393415 ONL393415 OXH393415 PHD393415 PQZ393415 QAV393415 QKR393415 QUN393415 REJ393415 ROF393415 RYB393415 SHX393415 SRT393415 TBP393415 TLL393415 TVH393415 UFD393415 UOZ393415 UYV393415 VIR393415 VSN393415 WCJ393415 WMF393415 WWB393415 T458951 JP458951 TL458951 ADH458951 AND458951 AWZ458951 BGV458951 BQR458951 CAN458951 CKJ458951 CUF458951 DEB458951 DNX458951 DXT458951 EHP458951 ERL458951 FBH458951 FLD458951 FUZ458951 GEV458951 GOR458951 GYN458951 HIJ458951 HSF458951 ICB458951 ILX458951 IVT458951 JFP458951 JPL458951 JZH458951 KJD458951 KSZ458951 LCV458951 LMR458951 LWN458951 MGJ458951 MQF458951 NAB458951 NJX458951 NTT458951 ODP458951 ONL458951 OXH458951 PHD458951 PQZ458951 QAV458951 QKR458951 QUN458951 REJ458951 ROF458951 RYB458951 SHX458951 SRT458951 TBP458951 TLL458951 TVH458951 UFD458951 UOZ458951 UYV458951 VIR458951 VSN458951 WCJ458951 WMF458951 WWB458951 T524487 JP524487 TL524487 ADH524487 AND524487 AWZ524487 BGV524487 BQR524487 CAN524487 CKJ524487 CUF524487 DEB524487 DNX524487 DXT524487 EHP524487 ERL524487 FBH524487 FLD524487 FUZ524487 GEV524487 GOR524487 GYN524487 HIJ524487 HSF524487 ICB524487 ILX524487 IVT524487 JFP524487 JPL524487 JZH524487 KJD524487 KSZ524487 LCV524487 LMR524487 LWN524487 MGJ524487 MQF524487 NAB524487 NJX524487 NTT524487 ODP524487 ONL524487 OXH524487 PHD524487 PQZ524487 QAV524487 QKR524487 QUN524487 REJ524487 ROF524487 RYB524487 SHX524487 SRT524487 TBP524487 TLL524487 TVH524487 UFD524487 UOZ524487 UYV524487 VIR524487 VSN524487 WCJ524487 WMF524487 WWB524487 T590023 JP590023 TL590023 ADH590023 AND590023 AWZ590023 BGV590023 BQR590023 CAN590023 CKJ590023 CUF590023 DEB590023 DNX590023 DXT590023 EHP590023 ERL590023 FBH590023 FLD590023 FUZ590023 GEV590023 GOR590023 GYN590023 HIJ590023 HSF590023 ICB590023 ILX590023 IVT590023 JFP590023 JPL590023 JZH590023 KJD590023 KSZ590023 LCV590023 LMR590023 LWN590023 MGJ590023 MQF590023 NAB590023 NJX590023 NTT590023 ODP590023 ONL590023 OXH590023 PHD590023 PQZ590023 QAV590023 QKR590023 QUN590023 REJ590023 ROF590023 RYB590023 SHX590023 SRT590023 TBP590023 TLL590023 TVH590023 UFD590023 UOZ590023 UYV590023 VIR590023 VSN590023 WCJ590023 WMF590023 WWB590023 T655559 JP655559 TL655559 ADH655559 AND655559 AWZ655559 BGV655559 BQR655559 CAN655559 CKJ655559 CUF655559 DEB655559 DNX655559 DXT655559 EHP655559 ERL655559 FBH655559 FLD655559 FUZ655559 GEV655559 GOR655559 GYN655559 HIJ655559 HSF655559 ICB655559 ILX655559 IVT655559 JFP655559 JPL655559 JZH655559 KJD655559 KSZ655559 LCV655559 LMR655559 LWN655559 MGJ655559 MQF655559 NAB655559 NJX655559 NTT655559 ODP655559 ONL655559 OXH655559 PHD655559 PQZ655559 QAV655559 QKR655559 QUN655559 REJ655559 ROF655559 RYB655559 SHX655559 SRT655559 TBP655559 TLL655559 TVH655559 UFD655559 UOZ655559 UYV655559 VIR655559 VSN655559 WCJ655559 WMF655559 WWB655559 T721095 JP721095 TL721095 ADH721095 AND721095 AWZ721095 BGV721095 BQR721095 CAN721095 CKJ721095 CUF721095 DEB721095 DNX721095 DXT721095 EHP721095 ERL721095 FBH721095 FLD721095 FUZ721095 GEV721095 GOR721095 GYN721095 HIJ721095 HSF721095 ICB721095 ILX721095 IVT721095 JFP721095 JPL721095 JZH721095 KJD721095 KSZ721095 LCV721095 LMR721095 LWN721095 MGJ721095 MQF721095 NAB721095 NJX721095 NTT721095 ODP721095 ONL721095 OXH721095 PHD721095 PQZ721095 QAV721095 QKR721095 QUN721095 REJ721095 ROF721095 RYB721095 SHX721095 SRT721095 TBP721095 TLL721095 TVH721095 UFD721095 UOZ721095 UYV721095 VIR721095 VSN721095 WCJ721095 WMF721095 WWB721095 T786631 JP786631 TL786631 ADH786631 AND786631 AWZ786631 BGV786631 BQR786631 CAN786631 CKJ786631 CUF786631 DEB786631 DNX786631 DXT786631 EHP786631 ERL786631 FBH786631 FLD786631 FUZ786631 GEV786631 GOR786631 GYN786631 HIJ786631 HSF786631 ICB786631 ILX786631 IVT786631 JFP786631 JPL786631 JZH786631 KJD786631 KSZ786631 LCV786631 LMR786631 LWN786631 MGJ786631 MQF786631 NAB786631 NJX786631 NTT786631 ODP786631 ONL786631 OXH786631 PHD786631 PQZ786631 QAV786631 QKR786631 QUN786631 REJ786631 ROF786631 RYB786631 SHX786631 SRT786631 TBP786631 TLL786631 TVH786631 UFD786631 UOZ786631 UYV786631 VIR786631 VSN786631 WCJ786631 WMF786631 WWB786631 T852167 JP852167 TL852167 ADH852167 AND852167 AWZ852167 BGV852167 BQR852167 CAN852167 CKJ852167 CUF852167 DEB852167 DNX852167 DXT852167 EHP852167 ERL852167 FBH852167 FLD852167 FUZ852167 GEV852167 GOR852167 GYN852167 HIJ852167 HSF852167 ICB852167 ILX852167 IVT852167 JFP852167 JPL852167 JZH852167 KJD852167 KSZ852167 LCV852167 LMR852167 LWN852167 MGJ852167 MQF852167 NAB852167 NJX852167 NTT852167 ODP852167 ONL852167 OXH852167 PHD852167 PQZ852167 QAV852167 QKR852167 QUN852167 REJ852167 ROF852167 RYB852167 SHX852167 SRT852167 TBP852167 TLL852167 TVH852167 UFD852167 UOZ852167 UYV852167 VIR852167 VSN852167 WCJ852167 WMF852167 WWB852167 T917703 JP917703 TL917703 ADH917703 AND917703 AWZ917703 BGV917703 BQR917703 CAN917703 CKJ917703 CUF917703 DEB917703 DNX917703 DXT917703 EHP917703 ERL917703 FBH917703 FLD917703 FUZ917703 GEV917703 GOR917703 GYN917703 HIJ917703 HSF917703 ICB917703 ILX917703 IVT917703 JFP917703 JPL917703 JZH917703 KJD917703 KSZ917703 LCV917703 LMR917703 LWN917703 MGJ917703 MQF917703 NAB917703 NJX917703 NTT917703 ODP917703 ONL917703 OXH917703 PHD917703 PQZ917703 QAV917703 QKR917703 QUN917703 REJ917703 ROF917703 RYB917703 SHX917703 SRT917703 TBP917703 TLL917703 TVH917703 UFD917703 UOZ917703 UYV917703 VIR917703 VSN917703 WCJ917703 WMF917703 WWB917703 T983239 JP983239 TL983239 ADH983239 AND983239 AWZ983239 BGV983239 BQR983239 CAN983239 CKJ983239 CUF983239 DEB983239 DNX983239 DXT983239 EHP983239 ERL983239 FBH983239 FLD983239 FUZ983239 GEV983239 GOR983239 GYN983239 HIJ983239 HSF983239 ICB983239 ILX983239 IVT983239 JFP983239 JPL983239 JZH983239 KJD983239 KSZ983239 LCV983239 LMR983239 LWN983239 MGJ983239 MQF983239 NAB983239 NJX983239 NTT983239 ODP983239 ONL983239 OXH983239 PHD983239 PQZ983239 QAV983239 QKR983239 QUN983239 REJ983239 ROF983239 RYB983239 SHX983239 SRT983239 TBP983239 TLL983239 TVH983239 UFD983239 UOZ983239 UYV983239 VIR983239 VSN983239 WCJ983239 WMF983239 WWB983239 WWV983235 JV195 TR195 ADN195 ANJ195 AXF195 BHB195 BQX195 CAT195 CKP195 CUL195 DEH195 DOD195 DXZ195 EHV195 ERR195 FBN195 FLJ195 FVF195 GFB195 GOX195 GYT195 HIP195 HSL195 ICH195 IMD195 IVZ195 JFV195 JPR195 JZN195 KJJ195 KTF195 LDB195 LMX195 LWT195 MGP195 MQL195 NAH195 NKD195 NTZ195 ODV195 ONR195 OXN195 PHJ195 PRF195 QBB195 QKX195 QUT195 REP195 ROL195 RYH195 SID195 SRZ195 TBV195 TLR195 TVN195 UFJ195 UPF195 UZB195 VIX195 VST195 WCP195 WML195 WWH195 Z65731 JV65731 TR65731 ADN65731 ANJ65731 AXF65731 BHB65731 BQX65731 CAT65731 CKP65731 CUL65731 DEH65731 DOD65731 DXZ65731 EHV65731 ERR65731 FBN65731 FLJ65731 FVF65731 GFB65731 GOX65731 GYT65731 HIP65731 HSL65731 ICH65731 IMD65731 IVZ65731 JFV65731 JPR65731 JZN65731 KJJ65731 KTF65731 LDB65731 LMX65731 LWT65731 MGP65731 MQL65731 NAH65731 NKD65731 NTZ65731 ODV65731 ONR65731 OXN65731 PHJ65731 PRF65731 QBB65731 QKX65731 QUT65731 REP65731 ROL65731 RYH65731 SID65731 SRZ65731 TBV65731 TLR65731 TVN65731 UFJ65731 UPF65731 UZB65731 VIX65731 VST65731 WCP65731 WML65731 WWH65731 Z131267 JV131267 TR131267 ADN131267 ANJ131267 AXF131267 BHB131267 BQX131267 CAT131267 CKP131267 CUL131267 DEH131267 DOD131267 DXZ131267 EHV131267 ERR131267 FBN131267 FLJ131267 FVF131267 GFB131267 GOX131267 GYT131267 HIP131267 HSL131267 ICH131267 IMD131267 IVZ131267 JFV131267 JPR131267 JZN131267 KJJ131267 KTF131267 LDB131267 LMX131267 LWT131267 MGP131267 MQL131267 NAH131267 NKD131267 NTZ131267 ODV131267 ONR131267 OXN131267 PHJ131267 PRF131267 QBB131267 QKX131267 QUT131267 REP131267 ROL131267 RYH131267 SID131267 SRZ131267 TBV131267 TLR131267 TVN131267 UFJ131267 UPF131267 UZB131267 VIX131267 VST131267 WCP131267 WML131267 WWH131267 Z196803 JV196803 TR196803 ADN196803 ANJ196803 AXF196803 BHB196803 BQX196803 CAT196803 CKP196803 CUL196803 DEH196803 DOD196803 DXZ196803 EHV196803 ERR196803 FBN196803 FLJ196803 FVF196803 GFB196803 GOX196803 GYT196803 HIP196803 HSL196803 ICH196803 IMD196803 IVZ196803 JFV196803 JPR196803 JZN196803 KJJ196803 KTF196803 LDB196803 LMX196803 LWT196803 MGP196803 MQL196803 NAH196803 NKD196803 NTZ196803 ODV196803 ONR196803 OXN196803 PHJ196803 PRF196803 QBB196803 QKX196803 QUT196803 REP196803 ROL196803 RYH196803 SID196803 SRZ196803 TBV196803 TLR196803 TVN196803 UFJ196803 UPF196803 UZB196803 VIX196803 VST196803 WCP196803 WML196803 WWH196803 Z262339 JV262339 TR262339 ADN262339 ANJ262339 AXF262339 BHB262339 BQX262339 CAT262339 CKP262339 CUL262339 DEH262339 DOD262339 DXZ262339 EHV262339 ERR262339 FBN262339 FLJ262339 FVF262339 GFB262339 GOX262339 GYT262339 HIP262339 HSL262339 ICH262339 IMD262339 IVZ262339 JFV262339 JPR262339 JZN262339 KJJ262339 KTF262339 LDB262339 LMX262339 LWT262339 MGP262339 MQL262339 NAH262339 NKD262339 NTZ262339 ODV262339 ONR262339 OXN262339 PHJ262339 PRF262339 QBB262339 QKX262339 QUT262339 REP262339 ROL262339 RYH262339 SID262339 SRZ262339 TBV262339 TLR262339 TVN262339 UFJ262339 UPF262339 UZB262339 VIX262339 VST262339 WCP262339 WML262339 WWH262339 Z327875 JV327875 TR327875 ADN327875 ANJ327875 AXF327875 BHB327875 BQX327875 CAT327875 CKP327875 CUL327875 DEH327875 DOD327875 DXZ327875 EHV327875 ERR327875 FBN327875 FLJ327875 FVF327875 GFB327875 GOX327875 GYT327875 HIP327875 HSL327875 ICH327875 IMD327875 IVZ327875 JFV327875 JPR327875 JZN327875 KJJ327875 KTF327875 LDB327875 LMX327875 LWT327875 MGP327875 MQL327875 NAH327875 NKD327875 NTZ327875 ODV327875 ONR327875 OXN327875 PHJ327875 PRF327875 QBB327875 QKX327875 QUT327875 REP327875 ROL327875 RYH327875 SID327875 SRZ327875 TBV327875 TLR327875 TVN327875 UFJ327875 UPF327875 UZB327875 VIX327875 VST327875 WCP327875 WML327875 WWH327875 Z393411 JV393411 TR393411 ADN393411 ANJ393411 AXF393411 BHB393411 BQX393411 CAT393411 CKP393411 CUL393411 DEH393411 DOD393411 DXZ393411 EHV393411 ERR393411 FBN393411 FLJ393411 FVF393411 GFB393411 GOX393411 GYT393411 HIP393411 HSL393411 ICH393411 IMD393411 IVZ393411 JFV393411 JPR393411 JZN393411 KJJ393411 KTF393411 LDB393411 LMX393411 LWT393411 MGP393411 MQL393411 NAH393411 NKD393411 NTZ393411 ODV393411 ONR393411 OXN393411 PHJ393411 PRF393411 QBB393411 QKX393411 QUT393411 REP393411 ROL393411 RYH393411 SID393411 SRZ393411 TBV393411 TLR393411 TVN393411 UFJ393411 UPF393411 UZB393411 VIX393411 VST393411 WCP393411 WML393411 WWH393411 Z458947 JV458947 TR458947 ADN458947 ANJ458947 AXF458947 BHB458947 BQX458947 CAT458947 CKP458947 CUL458947 DEH458947 DOD458947 DXZ458947 EHV458947 ERR458947 FBN458947 FLJ458947 FVF458947 GFB458947 GOX458947 GYT458947 HIP458947 HSL458947 ICH458947 IMD458947 IVZ458947 JFV458947 JPR458947 JZN458947 KJJ458947 KTF458947 LDB458947 LMX458947 LWT458947 MGP458947 MQL458947 NAH458947 NKD458947 NTZ458947 ODV458947 ONR458947 OXN458947 PHJ458947 PRF458947 QBB458947 QKX458947 QUT458947 REP458947 ROL458947 RYH458947 SID458947 SRZ458947 TBV458947 TLR458947 TVN458947 UFJ458947 UPF458947 UZB458947 VIX458947 VST458947 WCP458947 WML458947 WWH458947 Z524483 JV524483 TR524483 ADN524483 ANJ524483 AXF524483 BHB524483 BQX524483 CAT524483 CKP524483 CUL524483 DEH524483 DOD524483 DXZ524483 EHV524483 ERR524483 FBN524483 FLJ524483 FVF524483 GFB524483 GOX524483 GYT524483 HIP524483 HSL524483 ICH524483 IMD524483 IVZ524483 JFV524483 JPR524483 JZN524483 KJJ524483 KTF524483 LDB524483 LMX524483 LWT524483 MGP524483 MQL524483 NAH524483 NKD524483 NTZ524483 ODV524483 ONR524483 OXN524483 PHJ524483 PRF524483 QBB524483 QKX524483 QUT524483 REP524483 ROL524483 RYH524483 SID524483 SRZ524483 TBV524483 TLR524483 TVN524483 UFJ524483 UPF524483 UZB524483 VIX524483 VST524483 WCP524483 WML524483 WWH524483 Z590019 JV590019 TR590019 ADN590019 ANJ590019 AXF590019 BHB590019 BQX590019 CAT590019 CKP590019 CUL590019 DEH590019 DOD590019 DXZ590019 EHV590019 ERR590019 FBN590019 FLJ590019 FVF590019 GFB590019 GOX590019 GYT590019 HIP590019 HSL590019 ICH590019 IMD590019 IVZ590019 JFV590019 JPR590019 JZN590019 KJJ590019 KTF590019 LDB590019 LMX590019 LWT590019 MGP590019 MQL590019 NAH590019 NKD590019 NTZ590019 ODV590019 ONR590019 OXN590019 PHJ590019 PRF590019 QBB590019 QKX590019 QUT590019 REP590019 ROL590019 RYH590019 SID590019 SRZ590019 TBV590019 TLR590019 TVN590019 UFJ590019 UPF590019 UZB590019 VIX590019 VST590019 WCP590019 WML590019 WWH590019 Z655555 JV655555 TR655555 ADN655555 ANJ655555 AXF655555 BHB655555 BQX655555 CAT655555 CKP655555 CUL655555 DEH655555 DOD655555 DXZ655555 EHV655555 ERR655555 FBN655555 FLJ655555 FVF655555 GFB655555 GOX655555 GYT655555 HIP655555 HSL655555 ICH655555 IMD655555 IVZ655555 JFV655555 JPR655555 JZN655555 KJJ655555 KTF655555 LDB655555 LMX655555 LWT655555 MGP655555 MQL655555 NAH655555 NKD655555 NTZ655555 ODV655555 ONR655555 OXN655555 PHJ655555 PRF655555 QBB655555 QKX655555 QUT655555 REP655555 ROL655555 RYH655555 SID655555 SRZ655555 TBV655555 TLR655555 TVN655555 UFJ655555 UPF655555 UZB655555 VIX655555 VST655555 WCP655555 WML655555 WWH655555 Z721091 JV721091 TR721091 ADN721091 ANJ721091 AXF721091 BHB721091 BQX721091 CAT721091 CKP721091 CUL721091 DEH721091 DOD721091 DXZ721091 EHV721091 ERR721091 FBN721091 FLJ721091 FVF721091 GFB721091 GOX721091 GYT721091 HIP721091 HSL721091 ICH721091 IMD721091 IVZ721091 JFV721091 JPR721091 JZN721091 KJJ721091 KTF721091 LDB721091 LMX721091 LWT721091 MGP721091 MQL721091 NAH721091 NKD721091 NTZ721091 ODV721091 ONR721091 OXN721091 PHJ721091 PRF721091 QBB721091 QKX721091 QUT721091 REP721091 ROL721091 RYH721091 SID721091 SRZ721091 TBV721091 TLR721091 TVN721091 UFJ721091 UPF721091 UZB721091 VIX721091 VST721091 WCP721091 WML721091 WWH721091 Z786627 JV786627 TR786627 ADN786627 ANJ786627 AXF786627 BHB786627 BQX786627 CAT786627 CKP786627 CUL786627 DEH786627 DOD786627 DXZ786627 EHV786627 ERR786627 FBN786627 FLJ786627 FVF786627 GFB786627 GOX786627 GYT786627 HIP786627 HSL786627 ICH786627 IMD786627 IVZ786627 JFV786627 JPR786627 JZN786627 KJJ786627 KTF786627 LDB786627 LMX786627 LWT786627 MGP786627 MQL786627 NAH786627 NKD786627 NTZ786627 ODV786627 ONR786627 OXN786627 PHJ786627 PRF786627 QBB786627 QKX786627 QUT786627 REP786627 ROL786627 RYH786627 SID786627 SRZ786627 TBV786627 TLR786627 TVN786627 UFJ786627 UPF786627 UZB786627 VIX786627 VST786627 WCP786627 WML786627 WWH786627 Z852163 JV852163 TR852163 ADN852163 ANJ852163 AXF852163 BHB852163 BQX852163 CAT852163 CKP852163 CUL852163 DEH852163 DOD852163 DXZ852163 EHV852163 ERR852163 FBN852163 FLJ852163 FVF852163 GFB852163 GOX852163 GYT852163 HIP852163 HSL852163 ICH852163 IMD852163 IVZ852163 JFV852163 JPR852163 JZN852163 KJJ852163 KTF852163 LDB852163 LMX852163 LWT852163 MGP852163 MQL852163 NAH852163 NKD852163 NTZ852163 ODV852163 ONR852163 OXN852163 PHJ852163 PRF852163 QBB852163 QKX852163 QUT852163 REP852163 ROL852163 RYH852163 SID852163 SRZ852163 TBV852163 TLR852163 TVN852163 UFJ852163 UPF852163 UZB852163 VIX852163 VST852163 WCP852163 WML852163 WWH852163 Z917699 JV917699 TR917699 ADN917699 ANJ917699 AXF917699 BHB917699 BQX917699 CAT917699 CKP917699 CUL917699 DEH917699 DOD917699 DXZ917699 EHV917699 ERR917699 FBN917699 FLJ917699 FVF917699 GFB917699 GOX917699 GYT917699 HIP917699 HSL917699 ICH917699 IMD917699 IVZ917699 JFV917699 JPR917699 JZN917699 KJJ917699 KTF917699 LDB917699 LMX917699 LWT917699 MGP917699 MQL917699 NAH917699 NKD917699 NTZ917699 ODV917699 ONR917699 OXN917699 PHJ917699 PRF917699 QBB917699 QKX917699 QUT917699 REP917699 ROL917699 RYH917699 SID917699 SRZ917699 TBV917699 TLR917699 TVN917699 UFJ917699 UPF917699 UZB917699 VIX917699 VST917699 WCP917699 WML917699 WWH917699 Z983235 JV983235 TR983235 ADN983235 ANJ983235 AXF983235 BHB983235 BQX983235 CAT983235 CKP983235 CUL983235 DEH983235 DOD983235 DXZ983235 EHV983235 ERR983235 FBN983235 FLJ983235 FVF983235 GFB983235 GOX983235 GYT983235 HIP983235 HSL983235 ICH983235 IMD983235 IVZ983235 JFV983235 JPR983235 JZN983235 KJJ983235 KTF983235 LDB983235 LMX983235 LWT983235 MGP983235 MQL983235 NAH983235 NKD983235 NTZ983235 ODV983235 ONR983235 OXN983235 PHJ983235 PRF983235 QBB983235 QKX983235 QUT983235 REP983235 ROL983235 RYH983235 SID983235 SRZ983235 TBV983235 TLR983235 TVN983235 UFJ983235 UPF983235 UZB983235 VIX983235 VST983235 WCP983235 WML983235 WWH983235 WMZ983235 KJ195 UF195 AEB195 ANX195 AXT195 BHP195 BRL195 CBH195 CLD195 CUZ195 DEV195 DOR195 DYN195 EIJ195 ESF195 FCB195 FLX195 FVT195 GFP195 GPL195 GZH195 HJD195 HSZ195 ICV195 IMR195 IWN195 JGJ195 JQF195 KAB195 KJX195 KTT195 LDP195 LNL195 LXH195 MHD195 MQZ195 NAV195 NKR195 NUN195 OEJ195 OOF195 OYB195 PHX195 PRT195 QBP195 QLL195 QVH195 RFD195 ROZ195 RYV195 SIR195 SSN195 TCJ195 TMF195 TWB195 UFX195 UPT195 UZP195 VJL195 VTH195 WDD195 WMZ195 WWV195 AN65731 KJ65731 UF65731 AEB65731 ANX65731 AXT65731 BHP65731 BRL65731 CBH65731 CLD65731 CUZ65731 DEV65731 DOR65731 DYN65731 EIJ65731 ESF65731 FCB65731 FLX65731 FVT65731 GFP65731 GPL65731 GZH65731 HJD65731 HSZ65731 ICV65731 IMR65731 IWN65731 JGJ65731 JQF65731 KAB65731 KJX65731 KTT65731 LDP65731 LNL65731 LXH65731 MHD65731 MQZ65731 NAV65731 NKR65731 NUN65731 OEJ65731 OOF65731 OYB65731 PHX65731 PRT65731 QBP65731 QLL65731 QVH65731 RFD65731 ROZ65731 RYV65731 SIR65731 SSN65731 TCJ65731 TMF65731 TWB65731 UFX65731 UPT65731 UZP65731 VJL65731 VTH65731 WDD65731 WMZ65731 WWV65731 AN131267 KJ131267 UF131267 AEB131267 ANX131267 AXT131267 BHP131267 BRL131267 CBH131267 CLD131267 CUZ131267 DEV131267 DOR131267 DYN131267 EIJ131267 ESF131267 FCB131267 FLX131267 FVT131267 GFP131267 GPL131267 GZH131267 HJD131267 HSZ131267 ICV131267 IMR131267 IWN131267 JGJ131267 JQF131267 KAB131267 KJX131267 KTT131267 LDP131267 LNL131267 LXH131267 MHD131267 MQZ131267 NAV131267 NKR131267 NUN131267 OEJ131267 OOF131267 OYB131267 PHX131267 PRT131267 QBP131267 QLL131267 QVH131267 RFD131267 ROZ131267 RYV131267 SIR131267 SSN131267 TCJ131267 TMF131267 TWB131267 UFX131267 UPT131267 UZP131267 VJL131267 VTH131267 WDD131267 WMZ131267 WWV131267 AN196803 KJ196803 UF196803 AEB196803 ANX196803 AXT196803 BHP196803 BRL196803 CBH196803 CLD196803 CUZ196803 DEV196803 DOR196803 DYN196803 EIJ196803 ESF196803 FCB196803 FLX196803 FVT196803 GFP196803 GPL196803 GZH196803 HJD196803 HSZ196803 ICV196803 IMR196803 IWN196803 JGJ196803 JQF196803 KAB196803 KJX196803 KTT196803 LDP196803 LNL196803 LXH196803 MHD196803 MQZ196803 NAV196803 NKR196803 NUN196803 OEJ196803 OOF196803 OYB196803 PHX196803 PRT196803 QBP196803 QLL196803 QVH196803 RFD196803 ROZ196803 RYV196803 SIR196803 SSN196803 TCJ196803 TMF196803 TWB196803 UFX196803 UPT196803 UZP196803 VJL196803 VTH196803 WDD196803 WMZ196803 WWV196803 AN262339 KJ262339 UF262339 AEB262339 ANX262339 AXT262339 BHP262339 BRL262339 CBH262339 CLD262339 CUZ262339 DEV262339 DOR262339 DYN262339 EIJ262339 ESF262339 FCB262339 FLX262339 FVT262339 GFP262339 GPL262339 GZH262339 HJD262339 HSZ262339 ICV262339 IMR262339 IWN262339 JGJ262339 JQF262339 KAB262339 KJX262339 KTT262339 LDP262339 LNL262339 LXH262339 MHD262339 MQZ262339 NAV262339 NKR262339 NUN262339 OEJ262339 OOF262339 OYB262339 PHX262339 PRT262339 QBP262339 QLL262339 QVH262339 RFD262339 ROZ262339 RYV262339 SIR262339 SSN262339 TCJ262339 TMF262339 TWB262339 UFX262339 UPT262339 UZP262339 VJL262339 VTH262339 WDD262339 WMZ262339 WWV262339 AN327875 KJ327875 UF327875 AEB327875 ANX327875 AXT327875 BHP327875 BRL327875 CBH327875 CLD327875 CUZ327875 DEV327875 DOR327875 DYN327875 EIJ327875 ESF327875 FCB327875 FLX327875 FVT327875 GFP327875 GPL327875 GZH327875 HJD327875 HSZ327875 ICV327875 IMR327875 IWN327875 JGJ327875 JQF327875 KAB327875 KJX327875 KTT327875 LDP327875 LNL327875 LXH327875 MHD327875 MQZ327875 NAV327875 NKR327875 NUN327875 OEJ327875 OOF327875 OYB327875 PHX327875 PRT327875 QBP327875 QLL327875 QVH327875 RFD327875 ROZ327875 RYV327875 SIR327875 SSN327875 TCJ327875 TMF327875 TWB327875 UFX327875 UPT327875 UZP327875 VJL327875 VTH327875 WDD327875 WMZ327875 WWV327875 AN393411 KJ393411 UF393411 AEB393411 ANX393411 AXT393411 BHP393411 BRL393411 CBH393411 CLD393411 CUZ393411 DEV393411 DOR393411 DYN393411 EIJ393411 ESF393411 FCB393411 FLX393411 FVT393411 GFP393411 GPL393411 GZH393411 HJD393411 HSZ393411 ICV393411 IMR393411 IWN393411 JGJ393411 JQF393411 KAB393411 KJX393411 KTT393411 LDP393411 LNL393411 LXH393411 MHD393411 MQZ393411 NAV393411 NKR393411 NUN393411 OEJ393411 OOF393411 OYB393411 PHX393411 PRT393411 QBP393411 QLL393411 QVH393411 RFD393411 ROZ393411 RYV393411 SIR393411 SSN393411 TCJ393411 TMF393411 TWB393411 UFX393411 UPT393411 UZP393411 VJL393411 VTH393411 WDD393411 WMZ393411 WWV393411 AN458947 KJ458947 UF458947 AEB458947 ANX458947 AXT458947 BHP458947 BRL458947 CBH458947 CLD458947 CUZ458947 DEV458947 DOR458947 DYN458947 EIJ458947 ESF458947 FCB458947 FLX458947 FVT458947 GFP458947 GPL458947 GZH458947 HJD458947 HSZ458947 ICV458947 IMR458947 IWN458947 JGJ458947 JQF458947 KAB458947 KJX458947 KTT458947 LDP458947 LNL458947 LXH458947 MHD458947 MQZ458947 NAV458947 NKR458947 NUN458947 OEJ458947 OOF458947 OYB458947 PHX458947 PRT458947 QBP458947 QLL458947 QVH458947 RFD458947 ROZ458947 RYV458947 SIR458947 SSN458947 TCJ458947 TMF458947 TWB458947 UFX458947 UPT458947 UZP458947 VJL458947 VTH458947 WDD458947 WMZ458947 WWV458947 AN524483 KJ524483 UF524483 AEB524483 ANX524483 AXT524483 BHP524483 BRL524483 CBH524483 CLD524483 CUZ524483 DEV524483 DOR524483 DYN524483 EIJ524483 ESF524483 FCB524483 FLX524483 FVT524483 GFP524483 GPL524483 GZH524483 HJD524483 HSZ524483 ICV524483 IMR524483 IWN524483 JGJ524483 JQF524483 KAB524483 KJX524483 KTT524483 LDP524483 LNL524483 LXH524483 MHD524483 MQZ524483 NAV524483 NKR524483 NUN524483 OEJ524483 OOF524483 OYB524483 PHX524483 PRT524483 QBP524483 QLL524483 QVH524483 RFD524483 ROZ524483 RYV524483 SIR524483 SSN524483 TCJ524483 TMF524483 TWB524483 UFX524483 UPT524483 UZP524483 VJL524483 VTH524483 WDD524483 WMZ524483 WWV524483 AN590019 KJ590019 UF590019 AEB590019 ANX590019 AXT590019 BHP590019 BRL590019 CBH590019 CLD590019 CUZ590019 DEV590019 DOR590019 DYN590019 EIJ590019 ESF590019 FCB590019 FLX590019 FVT590019 GFP590019 GPL590019 GZH590019 HJD590019 HSZ590019 ICV590019 IMR590019 IWN590019 JGJ590019 JQF590019 KAB590019 KJX590019 KTT590019 LDP590019 LNL590019 LXH590019 MHD590019 MQZ590019 NAV590019 NKR590019 NUN590019 OEJ590019 OOF590019 OYB590019 PHX590019 PRT590019 QBP590019 QLL590019 QVH590019 RFD590019 ROZ590019 RYV590019 SIR590019 SSN590019 TCJ590019 TMF590019 TWB590019 UFX590019 UPT590019 UZP590019 VJL590019 VTH590019 WDD590019 WMZ590019 WWV590019 AN655555 KJ655555 UF655555 AEB655555 ANX655555 AXT655555 BHP655555 BRL655555 CBH655555 CLD655555 CUZ655555 DEV655555 DOR655555 DYN655555 EIJ655555 ESF655555 FCB655555 FLX655555 FVT655555 GFP655555 GPL655555 GZH655555 HJD655555 HSZ655555 ICV655555 IMR655555 IWN655555 JGJ655555 JQF655555 KAB655555 KJX655555 KTT655555 LDP655555 LNL655555 LXH655555 MHD655555 MQZ655555 NAV655555 NKR655555 NUN655555 OEJ655555 OOF655555 OYB655555 PHX655555 PRT655555 QBP655555 QLL655555 QVH655555 RFD655555 ROZ655555 RYV655555 SIR655555 SSN655555 TCJ655555 TMF655555 TWB655555 UFX655555 UPT655555 UZP655555 VJL655555 VTH655555 WDD655555 WMZ655555 WWV655555 AN721091 KJ721091 UF721091 AEB721091 ANX721091 AXT721091 BHP721091 BRL721091 CBH721091 CLD721091 CUZ721091 DEV721091 DOR721091 DYN721091 EIJ721091 ESF721091 FCB721091 FLX721091 FVT721091 GFP721091 GPL721091 GZH721091 HJD721091 HSZ721091 ICV721091 IMR721091 IWN721091 JGJ721091 JQF721091 KAB721091 KJX721091 KTT721091 LDP721091 LNL721091 LXH721091 MHD721091 MQZ721091 NAV721091 NKR721091 NUN721091 OEJ721091 OOF721091 OYB721091 PHX721091 PRT721091 QBP721091 QLL721091 QVH721091 RFD721091 ROZ721091 RYV721091 SIR721091 SSN721091 TCJ721091 TMF721091 TWB721091 UFX721091 UPT721091 UZP721091 VJL721091 VTH721091 WDD721091 WMZ721091 WWV721091 AN786627 KJ786627 UF786627 AEB786627 ANX786627 AXT786627 BHP786627 BRL786627 CBH786627 CLD786627 CUZ786627 DEV786627 DOR786627 DYN786627 EIJ786627 ESF786627 FCB786627 FLX786627 FVT786627 GFP786627 GPL786627 GZH786627 HJD786627 HSZ786627 ICV786627 IMR786627 IWN786627 JGJ786627 JQF786627 KAB786627 KJX786627 KTT786627 LDP786627 LNL786627 LXH786627 MHD786627 MQZ786627 NAV786627 NKR786627 NUN786627 OEJ786627 OOF786627 OYB786627 PHX786627 PRT786627 QBP786627 QLL786627 QVH786627 RFD786627 ROZ786627 RYV786627 SIR786627 SSN786627 TCJ786627 TMF786627 TWB786627 UFX786627 UPT786627 UZP786627 VJL786627 VTH786627 WDD786627 WMZ786627 WWV786627 AN852163 KJ852163 UF852163 AEB852163 ANX852163 AXT852163 BHP852163 BRL852163 CBH852163 CLD852163 CUZ852163 DEV852163 DOR852163 DYN852163 EIJ852163 ESF852163 FCB852163 FLX852163 FVT852163 GFP852163 GPL852163 GZH852163 HJD852163 HSZ852163 ICV852163 IMR852163 IWN852163 JGJ852163 JQF852163 KAB852163 KJX852163 KTT852163 LDP852163 LNL852163 LXH852163 MHD852163 MQZ852163 NAV852163 NKR852163 NUN852163 OEJ852163 OOF852163 OYB852163 PHX852163 PRT852163 QBP852163 QLL852163 QVH852163 RFD852163 ROZ852163 RYV852163 SIR852163 SSN852163 TCJ852163 TMF852163 TWB852163 UFX852163 UPT852163 UZP852163 VJL852163 VTH852163 WDD852163 WMZ852163 WWV852163 AN917699 KJ917699 UF917699 AEB917699 ANX917699 AXT917699 BHP917699 BRL917699 CBH917699 CLD917699 CUZ917699 DEV917699 DOR917699 DYN917699 EIJ917699 ESF917699 FCB917699 FLX917699 FVT917699 GFP917699 GPL917699 GZH917699 HJD917699 HSZ917699 ICV917699 IMR917699 IWN917699 JGJ917699 JQF917699 KAB917699 KJX917699 KTT917699 LDP917699 LNL917699 LXH917699 MHD917699 MQZ917699 NAV917699 NKR917699 NUN917699 OEJ917699 OOF917699 OYB917699 PHX917699 PRT917699 QBP917699 QLL917699 QVH917699 RFD917699 ROZ917699 RYV917699 SIR917699 SSN917699 TCJ917699 TMF917699 TWB917699 UFX917699 UPT917699 UZP917699 VJL917699 VTH917699 WDD917699 WMZ917699 WWV917699 AN983235 KJ983235 UF983235 AEB983235 ANX983235 AXT983235 BHP983235 BRL983235 CBH983235 CLD983235 CUZ983235 DEV983235 DOR983235 DYN983235 EIJ983235 ESF983235 FCB983235 FLX983235 FVT983235 GFP983235 GPL983235 GZH983235 HJD983235 HSZ983235 ICV983235 IMR983235 IWN983235 JGJ983235 JQF983235 KAB983235 KJX983235 KTT983235 LDP983235 LNL983235 LXH983235 MHD983235 MQZ983235 NAV983235 NKR983235 NUN983235 OEJ983235 OOF983235 OYB983235 PHX983235 PRT983235 QBP983235 QLL983235 QVH983235 RFD983235 ROZ983235 RYV983235 SIR983235 SSN983235 TCJ983235 TMF983235 TWB983235 UFX983235 UPT983235 UZP983235 VJL983235 VTH983235 WDD983235 Z195:AA196 BB229:BC233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zoomScale="75" zoomScaleNormal="75" workbookViewId="0"/>
  </sheetViews>
  <sheetFormatPr defaultColWidth="3.625" defaultRowHeight="12.75"/>
  <cols>
    <col min="1" max="1" width="0.875" style="290" customWidth="1"/>
    <col min="2" max="2" width="2.875" style="290" customWidth="1"/>
    <col min="3" max="8" width="3.625" style="290" customWidth="1"/>
    <col min="9" max="9" width="3.25" style="290" customWidth="1"/>
    <col min="10" max="25" width="3.625" style="290" customWidth="1"/>
    <col min="26" max="26" width="4.375" style="290" customWidth="1"/>
    <col min="27" max="27" width="1.375" style="290" customWidth="1"/>
    <col min="28" max="256" width="3.625" style="290" customWidth="1"/>
    <col min="257" max="257" width="0.875" style="290" customWidth="1"/>
    <col min="258" max="258" width="2.875" style="290" customWidth="1"/>
    <col min="259" max="264" width="3.625" style="290" customWidth="1"/>
    <col min="265" max="265" width="3.25" style="290" customWidth="1"/>
    <col min="266" max="280" width="3.625" style="290" customWidth="1"/>
    <col min="281" max="281" width="2.875" style="290" customWidth="1"/>
    <col min="282" max="282" width="4.375" style="290" customWidth="1"/>
    <col min="283" max="283" width="1.375" style="290" customWidth="1"/>
    <col min="284" max="512" width="3.625" style="290" customWidth="1"/>
    <col min="513" max="513" width="0.875" style="290" customWidth="1"/>
    <col min="514" max="514" width="2.875" style="290" customWidth="1"/>
    <col min="515" max="520" width="3.625" style="290" customWidth="1"/>
    <col min="521" max="521" width="3.25" style="290" customWidth="1"/>
    <col min="522" max="536" width="3.625" style="290" customWidth="1"/>
    <col min="537" max="537" width="2.875" style="290" customWidth="1"/>
    <col min="538" max="538" width="4.375" style="290" customWidth="1"/>
    <col min="539" max="539" width="1.375" style="290" customWidth="1"/>
    <col min="540" max="768" width="3.625" style="290" customWidth="1"/>
    <col min="769" max="769" width="0.875" style="290" customWidth="1"/>
    <col min="770" max="770" width="2.875" style="290" customWidth="1"/>
    <col min="771" max="776" width="3.625" style="290" customWidth="1"/>
    <col min="777" max="777" width="3.25" style="290" customWidth="1"/>
    <col min="778" max="792" width="3.625" style="290" customWidth="1"/>
    <col min="793" max="793" width="2.875" style="290" customWidth="1"/>
    <col min="794" max="794" width="4.375" style="290" customWidth="1"/>
    <col min="795" max="795" width="1.375" style="290" customWidth="1"/>
    <col min="796" max="1024" width="3.625" style="290" customWidth="1"/>
    <col min="1025" max="1025" width="0.875" style="290" customWidth="1"/>
    <col min="1026" max="1026" width="2.875" style="290" customWidth="1"/>
    <col min="1027" max="1032" width="3.625" style="290" customWidth="1"/>
    <col min="1033" max="1033" width="3.25" style="290" customWidth="1"/>
    <col min="1034" max="1048" width="3.625" style="290" customWidth="1"/>
    <col min="1049" max="1049" width="2.875" style="290" customWidth="1"/>
    <col min="1050" max="1050" width="4.375" style="290" customWidth="1"/>
    <col min="1051" max="1051" width="1.375" style="290" customWidth="1"/>
    <col min="1052" max="1280" width="3.625" style="290" customWidth="1"/>
    <col min="1281" max="1281" width="0.875" style="290" customWidth="1"/>
    <col min="1282" max="1282" width="2.875" style="290" customWidth="1"/>
    <col min="1283" max="1288" width="3.625" style="290" customWidth="1"/>
    <col min="1289" max="1289" width="3.25" style="290" customWidth="1"/>
    <col min="1290" max="1304" width="3.625" style="290" customWidth="1"/>
    <col min="1305" max="1305" width="2.875" style="290" customWidth="1"/>
    <col min="1306" max="1306" width="4.375" style="290" customWidth="1"/>
    <col min="1307" max="1307" width="1.375" style="290" customWidth="1"/>
    <col min="1308" max="1536" width="3.625" style="290" customWidth="1"/>
    <col min="1537" max="1537" width="0.875" style="290" customWidth="1"/>
    <col min="1538" max="1538" width="2.875" style="290" customWidth="1"/>
    <col min="1539" max="1544" width="3.625" style="290" customWidth="1"/>
    <col min="1545" max="1545" width="3.25" style="290" customWidth="1"/>
    <col min="1546" max="1560" width="3.625" style="290" customWidth="1"/>
    <col min="1561" max="1561" width="2.875" style="290" customWidth="1"/>
    <col min="1562" max="1562" width="4.375" style="290" customWidth="1"/>
    <col min="1563" max="1563" width="1.375" style="290" customWidth="1"/>
    <col min="1564" max="1792" width="3.625" style="290" customWidth="1"/>
    <col min="1793" max="1793" width="0.875" style="290" customWidth="1"/>
    <col min="1794" max="1794" width="2.875" style="290" customWidth="1"/>
    <col min="1795" max="1800" width="3.625" style="290" customWidth="1"/>
    <col min="1801" max="1801" width="3.25" style="290" customWidth="1"/>
    <col min="1802" max="1816" width="3.625" style="290" customWidth="1"/>
    <col min="1817" max="1817" width="2.875" style="290" customWidth="1"/>
    <col min="1818" max="1818" width="4.375" style="290" customWidth="1"/>
    <col min="1819" max="1819" width="1.375" style="290" customWidth="1"/>
    <col min="1820" max="2048" width="3.625" style="290" customWidth="1"/>
    <col min="2049" max="2049" width="0.875" style="290" customWidth="1"/>
    <col min="2050" max="2050" width="2.875" style="290" customWidth="1"/>
    <col min="2051" max="2056" width="3.625" style="290" customWidth="1"/>
    <col min="2057" max="2057" width="3.25" style="290" customWidth="1"/>
    <col min="2058" max="2072" width="3.625" style="290" customWidth="1"/>
    <col min="2073" max="2073" width="2.875" style="290" customWidth="1"/>
    <col min="2074" max="2074" width="4.375" style="290" customWidth="1"/>
    <col min="2075" max="2075" width="1.375" style="290" customWidth="1"/>
    <col min="2076" max="2304" width="3.625" style="290" customWidth="1"/>
    <col min="2305" max="2305" width="0.875" style="290" customWidth="1"/>
    <col min="2306" max="2306" width="2.875" style="290" customWidth="1"/>
    <col min="2307" max="2312" width="3.625" style="290" customWidth="1"/>
    <col min="2313" max="2313" width="3.25" style="290" customWidth="1"/>
    <col min="2314" max="2328" width="3.625" style="290" customWidth="1"/>
    <col min="2329" max="2329" width="2.875" style="290" customWidth="1"/>
    <col min="2330" max="2330" width="4.375" style="290" customWidth="1"/>
    <col min="2331" max="2331" width="1.375" style="290" customWidth="1"/>
    <col min="2332" max="2560" width="3.625" style="290" customWidth="1"/>
    <col min="2561" max="2561" width="0.875" style="290" customWidth="1"/>
    <col min="2562" max="2562" width="2.875" style="290" customWidth="1"/>
    <col min="2563" max="2568" width="3.625" style="290" customWidth="1"/>
    <col min="2569" max="2569" width="3.25" style="290" customWidth="1"/>
    <col min="2570" max="2584" width="3.625" style="290" customWidth="1"/>
    <col min="2585" max="2585" width="2.875" style="290" customWidth="1"/>
    <col min="2586" max="2586" width="4.375" style="290" customWidth="1"/>
    <col min="2587" max="2587" width="1.375" style="290" customWidth="1"/>
    <col min="2588" max="2816" width="3.625" style="290" customWidth="1"/>
    <col min="2817" max="2817" width="0.875" style="290" customWidth="1"/>
    <col min="2818" max="2818" width="2.875" style="290" customWidth="1"/>
    <col min="2819" max="2824" width="3.625" style="290" customWidth="1"/>
    <col min="2825" max="2825" width="3.25" style="290" customWidth="1"/>
    <col min="2826" max="2840" width="3.625" style="290" customWidth="1"/>
    <col min="2841" max="2841" width="2.875" style="290" customWidth="1"/>
    <col min="2842" max="2842" width="4.375" style="290" customWidth="1"/>
    <col min="2843" max="2843" width="1.375" style="290" customWidth="1"/>
    <col min="2844" max="3072" width="3.625" style="290" customWidth="1"/>
    <col min="3073" max="3073" width="0.875" style="290" customWidth="1"/>
    <col min="3074" max="3074" width="2.875" style="290" customWidth="1"/>
    <col min="3075" max="3080" width="3.625" style="290" customWidth="1"/>
    <col min="3081" max="3081" width="3.25" style="290" customWidth="1"/>
    <col min="3082" max="3096" width="3.625" style="290" customWidth="1"/>
    <col min="3097" max="3097" width="2.875" style="290" customWidth="1"/>
    <col min="3098" max="3098" width="4.375" style="290" customWidth="1"/>
    <col min="3099" max="3099" width="1.375" style="290" customWidth="1"/>
    <col min="3100" max="3328" width="3.625" style="290" customWidth="1"/>
    <col min="3329" max="3329" width="0.875" style="290" customWidth="1"/>
    <col min="3330" max="3330" width="2.875" style="290" customWidth="1"/>
    <col min="3331" max="3336" width="3.625" style="290" customWidth="1"/>
    <col min="3337" max="3337" width="3.25" style="290" customWidth="1"/>
    <col min="3338" max="3352" width="3.625" style="290" customWidth="1"/>
    <col min="3353" max="3353" width="2.875" style="290" customWidth="1"/>
    <col min="3354" max="3354" width="4.375" style="290" customWidth="1"/>
    <col min="3355" max="3355" width="1.375" style="290" customWidth="1"/>
    <col min="3356" max="3584" width="3.625" style="290" customWidth="1"/>
    <col min="3585" max="3585" width="0.875" style="290" customWidth="1"/>
    <col min="3586" max="3586" width="2.875" style="290" customWidth="1"/>
    <col min="3587" max="3592" width="3.625" style="290" customWidth="1"/>
    <col min="3593" max="3593" width="3.25" style="290" customWidth="1"/>
    <col min="3594" max="3608" width="3.625" style="290" customWidth="1"/>
    <col min="3609" max="3609" width="2.875" style="290" customWidth="1"/>
    <col min="3610" max="3610" width="4.375" style="290" customWidth="1"/>
    <col min="3611" max="3611" width="1.375" style="290" customWidth="1"/>
    <col min="3612" max="3840" width="3.625" style="290" customWidth="1"/>
    <col min="3841" max="3841" width="0.875" style="290" customWidth="1"/>
    <col min="3842" max="3842" width="2.875" style="290" customWidth="1"/>
    <col min="3843" max="3848" width="3.625" style="290" customWidth="1"/>
    <col min="3849" max="3849" width="3.25" style="290" customWidth="1"/>
    <col min="3850" max="3864" width="3.625" style="290" customWidth="1"/>
    <col min="3865" max="3865" width="2.875" style="290" customWidth="1"/>
    <col min="3866" max="3866" width="4.375" style="290" customWidth="1"/>
    <col min="3867" max="3867" width="1.375" style="290" customWidth="1"/>
    <col min="3868" max="4096" width="3.625" style="290" customWidth="1"/>
    <col min="4097" max="4097" width="0.875" style="290" customWidth="1"/>
    <col min="4098" max="4098" width="2.875" style="290" customWidth="1"/>
    <col min="4099" max="4104" width="3.625" style="290" customWidth="1"/>
    <col min="4105" max="4105" width="3.25" style="290" customWidth="1"/>
    <col min="4106" max="4120" width="3.625" style="290" customWidth="1"/>
    <col min="4121" max="4121" width="2.875" style="290" customWidth="1"/>
    <col min="4122" max="4122" width="4.375" style="290" customWidth="1"/>
    <col min="4123" max="4123" width="1.375" style="290" customWidth="1"/>
    <col min="4124" max="4352" width="3.625" style="290" customWidth="1"/>
    <col min="4353" max="4353" width="0.875" style="290" customWidth="1"/>
    <col min="4354" max="4354" width="2.875" style="290" customWidth="1"/>
    <col min="4355" max="4360" width="3.625" style="290" customWidth="1"/>
    <col min="4361" max="4361" width="3.25" style="290" customWidth="1"/>
    <col min="4362" max="4376" width="3.625" style="290" customWidth="1"/>
    <col min="4377" max="4377" width="2.875" style="290" customWidth="1"/>
    <col min="4378" max="4378" width="4.375" style="290" customWidth="1"/>
    <col min="4379" max="4379" width="1.375" style="290" customWidth="1"/>
    <col min="4380" max="4608" width="3.625" style="290" customWidth="1"/>
    <col min="4609" max="4609" width="0.875" style="290" customWidth="1"/>
    <col min="4610" max="4610" width="2.875" style="290" customWidth="1"/>
    <col min="4611" max="4616" width="3.625" style="290" customWidth="1"/>
    <col min="4617" max="4617" width="3.25" style="290" customWidth="1"/>
    <col min="4618" max="4632" width="3.625" style="290" customWidth="1"/>
    <col min="4633" max="4633" width="2.875" style="290" customWidth="1"/>
    <col min="4634" max="4634" width="4.375" style="290" customWidth="1"/>
    <col min="4635" max="4635" width="1.375" style="290" customWidth="1"/>
    <col min="4636" max="4864" width="3.625" style="290" customWidth="1"/>
    <col min="4865" max="4865" width="0.875" style="290" customWidth="1"/>
    <col min="4866" max="4866" width="2.875" style="290" customWidth="1"/>
    <col min="4867" max="4872" width="3.625" style="290" customWidth="1"/>
    <col min="4873" max="4873" width="3.25" style="290" customWidth="1"/>
    <col min="4874" max="4888" width="3.625" style="290" customWidth="1"/>
    <col min="4889" max="4889" width="2.875" style="290" customWidth="1"/>
    <col min="4890" max="4890" width="4.375" style="290" customWidth="1"/>
    <col min="4891" max="4891" width="1.375" style="290" customWidth="1"/>
    <col min="4892" max="5120" width="3.625" style="290" customWidth="1"/>
    <col min="5121" max="5121" width="0.875" style="290" customWidth="1"/>
    <col min="5122" max="5122" width="2.875" style="290" customWidth="1"/>
    <col min="5123" max="5128" width="3.625" style="290" customWidth="1"/>
    <col min="5129" max="5129" width="3.25" style="290" customWidth="1"/>
    <col min="5130" max="5144" width="3.625" style="290" customWidth="1"/>
    <col min="5145" max="5145" width="2.875" style="290" customWidth="1"/>
    <col min="5146" max="5146" width="4.375" style="290" customWidth="1"/>
    <col min="5147" max="5147" width="1.375" style="290" customWidth="1"/>
    <col min="5148" max="5376" width="3.625" style="290" customWidth="1"/>
    <col min="5377" max="5377" width="0.875" style="290" customWidth="1"/>
    <col min="5378" max="5378" width="2.875" style="290" customWidth="1"/>
    <col min="5379" max="5384" width="3.625" style="290" customWidth="1"/>
    <col min="5385" max="5385" width="3.25" style="290" customWidth="1"/>
    <col min="5386" max="5400" width="3.625" style="290" customWidth="1"/>
    <col min="5401" max="5401" width="2.875" style="290" customWidth="1"/>
    <col min="5402" max="5402" width="4.375" style="290" customWidth="1"/>
    <col min="5403" max="5403" width="1.375" style="290" customWidth="1"/>
    <col min="5404" max="5632" width="3.625" style="290" customWidth="1"/>
    <col min="5633" max="5633" width="0.875" style="290" customWidth="1"/>
    <col min="5634" max="5634" width="2.875" style="290" customWidth="1"/>
    <col min="5635" max="5640" width="3.625" style="290" customWidth="1"/>
    <col min="5641" max="5641" width="3.25" style="290" customWidth="1"/>
    <col min="5642" max="5656" width="3.625" style="290" customWidth="1"/>
    <col min="5657" max="5657" width="2.875" style="290" customWidth="1"/>
    <col min="5658" max="5658" width="4.375" style="290" customWidth="1"/>
    <col min="5659" max="5659" width="1.375" style="290" customWidth="1"/>
    <col min="5660" max="5888" width="3.625" style="290" customWidth="1"/>
    <col min="5889" max="5889" width="0.875" style="290" customWidth="1"/>
    <col min="5890" max="5890" width="2.875" style="290" customWidth="1"/>
    <col min="5891" max="5896" width="3.625" style="290" customWidth="1"/>
    <col min="5897" max="5897" width="3.25" style="290" customWidth="1"/>
    <col min="5898" max="5912" width="3.625" style="290" customWidth="1"/>
    <col min="5913" max="5913" width="2.875" style="290" customWidth="1"/>
    <col min="5914" max="5914" width="4.375" style="290" customWidth="1"/>
    <col min="5915" max="5915" width="1.375" style="290" customWidth="1"/>
    <col min="5916" max="6144" width="3.625" style="290" customWidth="1"/>
    <col min="6145" max="6145" width="0.875" style="290" customWidth="1"/>
    <col min="6146" max="6146" width="2.875" style="290" customWidth="1"/>
    <col min="6147" max="6152" width="3.625" style="290" customWidth="1"/>
    <col min="6153" max="6153" width="3.25" style="290" customWidth="1"/>
    <col min="6154" max="6168" width="3.625" style="290" customWidth="1"/>
    <col min="6169" max="6169" width="2.875" style="290" customWidth="1"/>
    <col min="6170" max="6170" width="4.375" style="290" customWidth="1"/>
    <col min="6171" max="6171" width="1.375" style="290" customWidth="1"/>
    <col min="6172" max="6400" width="3.625" style="290" customWidth="1"/>
    <col min="6401" max="6401" width="0.875" style="290" customWidth="1"/>
    <col min="6402" max="6402" width="2.875" style="290" customWidth="1"/>
    <col min="6403" max="6408" width="3.625" style="290" customWidth="1"/>
    <col min="6409" max="6409" width="3.25" style="290" customWidth="1"/>
    <col min="6410" max="6424" width="3.625" style="290" customWidth="1"/>
    <col min="6425" max="6425" width="2.875" style="290" customWidth="1"/>
    <col min="6426" max="6426" width="4.375" style="290" customWidth="1"/>
    <col min="6427" max="6427" width="1.375" style="290" customWidth="1"/>
    <col min="6428" max="6656" width="3.625" style="290" customWidth="1"/>
    <col min="6657" max="6657" width="0.875" style="290" customWidth="1"/>
    <col min="6658" max="6658" width="2.875" style="290" customWidth="1"/>
    <col min="6659" max="6664" width="3.625" style="290" customWidth="1"/>
    <col min="6665" max="6665" width="3.25" style="290" customWidth="1"/>
    <col min="6666" max="6680" width="3.625" style="290" customWidth="1"/>
    <col min="6681" max="6681" width="2.875" style="290" customWidth="1"/>
    <col min="6682" max="6682" width="4.375" style="290" customWidth="1"/>
    <col min="6683" max="6683" width="1.375" style="290" customWidth="1"/>
    <col min="6684" max="6912" width="3.625" style="290" customWidth="1"/>
    <col min="6913" max="6913" width="0.875" style="290" customWidth="1"/>
    <col min="6914" max="6914" width="2.875" style="290" customWidth="1"/>
    <col min="6915" max="6920" width="3.625" style="290" customWidth="1"/>
    <col min="6921" max="6921" width="3.25" style="290" customWidth="1"/>
    <col min="6922" max="6936" width="3.625" style="290" customWidth="1"/>
    <col min="6937" max="6937" width="2.875" style="290" customWidth="1"/>
    <col min="6938" max="6938" width="4.375" style="290" customWidth="1"/>
    <col min="6939" max="6939" width="1.375" style="290" customWidth="1"/>
    <col min="6940" max="7168" width="3.625" style="290" customWidth="1"/>
    <col min="7169" max="7169" width="0.875" style="290" customWidth="1"/>
    <col min="7170" max="7170" width="2.875" style="290" customWidth="1"/>
    <col min="7171" max="7176" width="3.625" style="290" customWidth="1"/>
    <col min="7177" max="7177" width="3.25" style="290" customWidth="1"/>
    <col min="7178" max="7192" width="3.625" style="290" customWidth="1"/>
    <col min="7193" max="7193" width="2.875" style="290" customWidth="1"/>
    <col min="7194" max="7194" width="4.375" style="290" customWidth="1"/>
    <col min="7195" max="7195" width="1.375" style="290" customWidth="1"/>
    <col min="7196" max="7424" width="3.625" style="290" customWidth="1"/>
    <col min="7425" max="7425" width="0.875" style="290" customWidth="1"/>
    <col min="7426" max="7426" width="2.875" style="290" customWidth="1"/>
    <col min="7427" max="7432" width="3.625" style="290" customWidth="1"/>
    <col min="7433" max="7433" width="3.25" style="290" customWidth="1"/>
    <col min="7434" max="7448" width="3.625" style="290" customWidth="1"/>
    <col min="7449" max="7449" width="2.875" style="290" customWidth="1"/>
    <col min="7450" max="7450" width="4.375" style="290" customWidth="1"/>
    <col min="7451" max="7451" width="1.375" style="290" customWidth="1"/>
    <col min="7452" max="7680" width="3.625" style="290" customWidth="1"/>
    <col min="7681" max="7681" width="0.875" style="290" customWidth="1"/>
    <col min="7682" max="7682" width="2.875" style="290" customWidth="1"/>
    <col min="7683" max="7688" width="3.625" style="290" customWidth="1"/>
    <col min="7689" max="7689" width="3.25" style="290" customWidth="1"/>
    <col min="7690" max="7704" width="3.625" style="290" customWidth="1"/>
    <col min="7705" max="7705" width="2.875" style="290" customWidth="1"/>
    <col min="7706" max="7706" width="4.375" style="290" customWidth="1"/>
    <col min="7707" max="7707" width="1.375" style="290" customWidth="1"/>
    <col min="7708" max="7936" width="3.625" style="290" customWidth="1"/>
    <col min="7937" max="7937" width="0.875" style="290" customWidth="1"/>
    <col min="7938" max="7938" width="2.875" style="290" customWidth="1"/>
    <col min="7939" max="7944" width="3.625" style="290" customWidth="1"/>
    <col min="7945" max="7945" width="3.25" style="290" customWidth="1"/>
    <col min="7946" max="7960" width="3.625" style="290" customWidth="1"/>
    <col min="7961" max="7961" width="2.875" style="290" customWidth="1"/>
    <col min="7962" max="7962" width="4.375" style="290" customWidth="1"/>
    <col min="7963" max="7963" width="1.375" style="290" customWidth="1"/>
    <col min="7964" max="8192" width="3.625" style="290" customWidth="1"/>
    <col min="8193" max="8193" width="0.875" style="290" customWidth="1"/>
    <col min="8194" max="8194" width="2.875" style="290" customWidth="1"/>
    <col min="8195" max="8200" width="3.625" style="290" customWidth="1"/>
    <col min="8201" max="8201" width="3.25" style="290" customWidth="1"/>
    <col min="8202" max="8216" width="3.625" style="290" customWidth="1"/>
    <col min="8217" max="8217" width="2.875" style="290" customWidth="1"/>
    <col min="8218" max="8218" width="4.375" style="290" customWidth="1"/>
    <col min="8219" max="8219" width="1.375" style="290" customWidth="1"/>
    <col min="8220" max="8448" width="3.625" style="290" customWidth="1"/>
    <col min="8449" max="8449" width="0.875" style="290" customWidth="1"/>
    <col min="8450" max="8450" width="2.875" style="290" customWidth="1"/>
    <col min="8451" max="8456" width="3.625" style="290" customWidth="1"/>
    <col min="8457" max="8457" width="3.25" style="290" customWidth="1"/>
    <col min="8458" max="8472" width="3.625" style="290" customWidth="1"/>
    <col min="8473" max="8473" width="2.875" style="290" customWidth="1"/>
    <col min="8474" max="8474" width="4.375" style="290" customWidth="1"/>
    <col min="8475" max="8475" width="1.375" style="290" customWidth="1"/>
    <col min="8476" max="8704" width="3.625" style="290" customWidth="1"/>
    <col min="8705" max="8705" width="0.875" style="290" customWidth="1"/>
    <col min="8706" max="8706" width="2.875" style="290" customWidth="1"/>
    <col min="8707" max="8712" width="3.625" style="290" customWidth="1"/>
    <col min="8713" max="8713" width="3.25" style="290" customWidth="1"/>
    <col min="8714" max="8728" width="3.625" style="290" customWidth="1"/>
    <col min="8729" max="8729" width="2.875" style="290" customWidth="1"/>
    <col min="8730" max="8730" width="4.375" style="290" customWidth="1"/>
    <col min="8731" max="8731" width="1.375" style="290" customWidth="1"/>
    <col min="8732" max="8960" width="3.625" style="290" customWidth="1"/>
    <col min="8961" max="8961" width="0.875" style="290" customWidth="1"/>
    <col min="8962" max="8962" width="2.875" style="290" customWidth="1"/>
    <col min="8963" max="8968" width="3.625" style="290" customWidth="1"/>
    <col min="8969" max="8969" width="3.25" style="290" customWidth="1"/>
    <col min="8970" max="8984" width="3.625" style="290" customWidth="1"/>
    <col min="8985" max="8985" width="2.875" style="290" customWidth="1"/>
    <col min="8986" max="8986" width="4.375" style="290" customWidth="1"/>
    <col min="8987" max="8987" width="1.375" style="290" customWidth="1"/>
    <col min="8988" max="9216" width="3.625" style="290" customWidth="1"/>
    <col min="9217" max="9217" width="0.875" style="290" customWidth="1"/>
    <col min="9218" max="9218" width="2.875" style="290" customWidth="1"/>
    <col min="9219" max="9224" width="3.625" style="290" customWidth="1"/>
    <col min="9225" max="9225" width="3.25" style="290" customWidth="1"/>
    <col min="9226" max="9240" width="3.625" style="290" customWidth="1"/>
    <col min="9241" max="9241" width="2.875" style="290" customWidth="1"/>
    <col min="9242" max="9242" width="4.375" style="290" customWidth="1"/>
    <col min="9243" max="9243" width="1.375" style="290" customWidth="1"/>
    <col min="9244" max="9472" width="3.625" style="290" customWidth="1"/>
    <col min="9473" max="9473" width="0.875" style="290" customWidth="1"/>
    <col min="9474" max="9474" width="2.875" style="290" customWidth="1"/>
    <col min="9475" max="9480" width="3.625" style="290" customWidth="1"/>
    <col min="9481" max="9481" width="3.25" style="290" customWidth="1"/>
    <col min="9482" max="9496" width="3.625" style="290" customWidth="1"/>
    <col min="9497" max="9497" width="2.875" style="290" customWidth="1"/>
    <col min="9498" max="9498" width="4.375" style="290" customWidth="1"/>
    <col min="9499" max="9499" width="1.375" style="290" customWidth="1"/>
    <col min="9500" max="9728" width="3.625" style="290" customWidth="1"/>
    <col min="9729" max="9729" width="0.875" style="290" customWidth="1"/>
    <col min="9730" max="9730" width="2.875" style="290" customWidth="1"/>
    <col min="9731" max="9736" width="3.625" style="290" customWidth="1"/>
    <col min="9737" max="9737" width="3.25" style="290" customWidth="1"/>
    <col min="9738" max="9752" width="3.625" style="290" customWidth="1"/>
    <col min="9753" max="9753" width="2.875" style="290" customWidth="1"/>
    <col min="9754" max="9754" width="4.375" style="290" customWidth="1"/>
    <col min="9755" max="9755" width="1.375" style="290" customWidth="1"/>
    <col min="9756" max="9984" width="3.625" style="290" customWidth="1"/>
    <col min="9985" max="9985" width="0.875" style="290" customWidth="1"/>
    <col min="9986" max="9986" width="2.875" style="290" customWidth="1"/>
    <col min="9987" max="9992" width="3.625" style="290" customWidth="1"/>
    <col min="9993" max="9993" width="3.25" style="290" customWidth="1"/>
    <col min="9994" max="10008" width="3.625" style="290" customWidth="1"/>
    <col min="10009" max="10009" width="2.875" style="290" customWidth="1"/>
    <col min="10010" max="10010" width="4.375" style="290" customWidth="1"/>
    <col min="10011" max="10011" width="1.375" style="290" customWidth="1"/>
    <col min="10012" max="10240" width="3.625" style="290" customWidth="1"/>
    <col min="10241" max="10241" width="0.875" style="290" customWidth="1"/>
    <col min="10242" max="10242" width="2.875" style="290" customWidth="1"/>
    <col min="10243" max="10248" width="3.625" style="290" customWidth="1"/>
    <col min="10249" max="10249" width="3.25" style="290" customWidth="1"/>
    <col min="10250" max="10264" width="3.625" style="290" customWidth="1"/>
    <col min="10265" max="10265" width="2.875" style="290" customWidth="1"/>
    <col min="10266" max="10266" width="4.375" style="290" customWidth="1"/>
    <col min="10267" max="10267" width="1.375" style="290" customWidth="1"/>
    <col min="10268" max="10496" width="3.625" style="290" customWidth="1"/>
    <col min="10497" max="10497" width="0.875" style="290" customWidth="1"/>
    <col min="10498" max="10498" width="2.875" style="290" customWidth="1"/>
    <col min="10499" max="10504" width="3.625" style="290" customWidth="1"/>
    <col min="10505" max="10505" width="3.25" style="290" customWidth="1"/>
    <col min="10506" max="10520" width="3.625" style="290" customWidth="1"/>
    <col min="10521" max="10521" width="2.875" style="290" customWidth="1"/>
    <col min="10522" max="10522" width="4.375" style="290" customWidth="1"/>
    <col min="10523" max="10523" width="1.375" style="290" customWidth="1"/>
    <col min="10524" max="10752" width="3.625" style="290" customWidth="1"/>
    <col min="10753" max="10753" width="0.875" style="290" customWidth="1"/>
    <col min="10754" max="10754" width="2.875" style="290" customWidth="1"/>
    <col min="10755" max="10760" width="3.625" style="290" customWidth="1"/>
    <col min="10761" max="10761" width="3.25" style="290" customWidth="1"/>
    <col min="10762" max="10776" width="3.625" style="290" customWidth="1"/>
    <col min="10777" max="10777" width="2.875" style="290" customWidth="1"/>
    <col min="10778" max="10778" width="4.375" style="290" customWidth="1"/>
    <col min="10779" max="10779" width="1.375" style="290" customWidth="1"/>
    <col min="10780" max="11008" width="3.625" style="290" customWidth="1"/>
    <col min="11009" max="11009" width="0.875" style="290" customWidth="1"/>
    <col min="11010" max="11010" width="2.875" style="290" customWidth="1"/>
    <col min="11011" max="11016" width="3.625" style="290" customWidth="1"/>
    <col min="11017" max="11017" width="3.25" style="290" customWidth="1"/>
    <col min="11018" max="11032" width="3.625" style="290" customWidth="1"/>
    <col min="11033" max="11033" width="2.875" style="290" customWidth="1"/>
    <col min="11034" max="11034" width="4.375" style="290" customWidth="1"/>
    <col min="11035" max="11035" width="1.375" style="290" customWidth="1"/>
    <col min="11036" max="11264" width="3.625" style="290" customWidth="1"/>
    <col min="11265" max="11265" width="0.875" style="290" customWidth="1"/>
    <col min="11266" max="11266" width="2.875" style="290" customWidth="1"/>
    <col min="11267" max="11272" width="3.625" style="290" customWidth="1"/>
    <col min="11273" max="11273" width="3.25" style="290" customWidth="1"/>
    <col min="11274" max="11288" width="3.625" style="290" customWidth="1"/>
    <col min="11289" max="11289" width="2.875" style="290" customWidth="1"/>
    <col min="11290" max="11290" width="4.375" style="290" customWidth="1"/>
    <col min="11291" max="11291" width="1.375" style="290" customWidth="1"/>
    <col min="11292" max="11520" width="3.625" style="290" customWidth="1"/>
    <col min="11521" max="11521" width="0.875" style="290" customWidth="1"/>
    <col min="11522" max="11522" width="2.875" style="290" customWidth="1"/>
    <col min="11523" max="11528" width="3.625" style="290" customWidth="1"/>
    <col min="11529" max="11529" width="3.25" style="290" customWidth="1"/>
    <col min="11530" max="11544" width="3.625" style="290" customWidth="1"/>
    <col min="11545" max="11545" width="2.875" style="290" customWidth="1"/>
    <col min="11546" max="11546" width="4.375" style="290" customWidth="1"/>
    <col min="11547" max="11547" width="1.375" style="290" customWidth="1"/>
    <col min="11548" max="11776" width="3.625" style="290" customWidth="1"/>
    <col min="11777" max="11777" width="0.875" style="290" customWidth="1"/>
    <col min="11778" max="11778" width="2.875" style="290" customWidth="1"/>
    <col min="11779" max="11784" width="3.625" style="290" customWidth="1"/>
    <col min="11785" max="11785" width="3.25" style="290" customWidth="1"/>
    <col min="11786" max="11800" width="3.625" style="290" customWidth="1"/>
    <col min="11801" max="11801" width="2.875" style="290" customWidth="1"/>
    <col min="11802" max="11802" width="4.375" style="290" customWidth="1"/>
    <col min="11803" max="11803" width="1.375" style="290" customWidth="1"/>
    <col min="11804" max="12032" width="3.625" style="290" customWidth="1"/>
    <col min="12033" max="12033" width="0.875" style="290" customWidth="1"/>
    <col min="12034" max="12034" width="2.875" style="290" customWidth="1"/>
    <col min="12035" max="12040" width="3.625" style="290" customWidth="1"/>
    <col min="12041" max="12041" width="3.25" style="290" customWidth="1"/>
    <col min="12042" max="12056" width="3.625" style="290" customWidth="1"/>
    <col min="12057" max="12057" width="2.875" style="290" customWidth="1"/>
    <col min="12058" max="12058" width="4.375" style="290" customWidth="1"/>
    <col min="12059" max="12059" width="1.375" style="290" customWidth="1"/>
    <col min="12060" max="12288" width="3.625" style="290" customWidth="1"/>
    <col min="12289" max="12289" width="0.875" style="290" customWidth="1"/>
    <col min="12290" max="12290" width="2.875" style="290" customWidth="1"/>
    <col min="12291" max="12296" width="3.625" style="290" customWidth="1"/>
    <col min="12297" max="12297" width="3.25" style="290" customWidth="1"/>
    <col min="12298" max="12312" width="3.625" style="290" customWidth="1"/>
    <col min="12313" max="12313" width="2.875" style="290" customWidth="1"/>
    <col min="12314" max="12314" width="4.375" style="290" customWidth="1"/>
    <col min="12315" max="12315" width="1.375" style="290" customWidth="1"/>
    <col min="12316" max="12544" width="3.625" style="290" customWidth="1"/>
    <col min="12545" max="12545" width="0.875" style="290" customWidth="1"/>
    <col min="12546" max="12546" width="2.875" style="290" customWidth="1"/>
    <col min="12547" max="12552" width="3.625" style="290" customWidth="1"/>
    <col min="12553" max="12553" width="3.25" style="290" customWidth="1"/>
    <col min="12554" max="12568" width="3.625" style="290" customWidth="1"/>
    <col min="12569" max="12569" width="2.875" style="290" customWidth="1"/>
    <col min="12570" max="12570" width="4.375" style="290" customWidth="1"/>
    <col min="12571" max="12571" width="1.375" style="290" customWidth="1"/>
    <col min="12572" max="12800" width="3.625" style="290" customWidth="1"/>
    <col min="12801" max="12801" width="0.875" style="290" customWidth="1"/>
    <col min="12802" max="12802" width="2.875" style="290" customWidth="1"/>
    <col min="12803" max="12808" width="3.625" style="290" customWidth="1"/>
    <col min="12809" max="12809" width="3.25" style="290" customWidth="1"/>
    <col min="12810" max="12824" width="3.625" style="290" customWidth="1"/>
    <col min="12825" max="12825" width="2.875" style="290" customWidth="1"/>
    <col min="12826" max="12826" width="4.375" style="290" customWidth="1"/>
    <col min="12827" max="12827" width="1.375" style="290" customWidth="1"/>
    <col min="12828" max="13056" width="3.625" style="290" customWidth="1"/>
    <col min="13057" max="13057" width="0.875" style="290" customWidth="1"/>
    <col min="13058" max="13058" width="2.875" style="290" customWidth="1"/>
    <col min="13059" max="13064" width="3.625" style="290" customWidth="1"/>
    <col min="13065" max="13065" width="3.25" style="290" customWidth="1"/>
    <col min="13066" max="13080" width="3.625" style="290" customWidth="1"/>
    <col min="13081" max="13081" width="2.875" style="290" customWidth="1"/>
    <col min="13082" max="13082" width="4.375" style="290" customWidth="1"/>
    <col min="13083" max="13083" width="1.375" style="290" customWidth="1"/>
    <col min="13084" max="13312" width="3.625" style="290" customWidth="1"/>
    <col min="13313" max="13313" width="0.875" style="290" customWidth="1"/>
    <col min="13314" max="13314" width="2.875" style="290" customWidth="1"/>
    <col min="13315" max="13320" width="3.625" style="290" customWidth="1"/>
    <col min="13321" max="13321" width="3.25" style="290" customWidth="1"/>
    <col min="13322" max="13336" width="3.625" style="290" customWidth="1"/>
    <col min="13337" max="13337" width="2.875" style="290" customWidth="1"/>
    <col min="13338" max="13338" width="4.375" style="290" customWidth="1"/>
    <col min="13339" max="13339" width="1.375" style="290" customWidth="1"/>
    <col min="13340" max="13568" width="3.625" style="290" customWidth="1"/>
    <col min="13569" max="13569" width="0.875" style="290" customWidth="1"/>
    <col min="13570" max="13570" width="2.875" style="290" customWidth="1"/>
    <col min="13571" max="13576" width="3.625" style="290" customWidth="1"/>
    <col min="13577" max="13577" width="3.25" style="290" customWidth="1"/>
    <col min="13578" max="13592" width="3.625" style="290" customWidth="1"/>
    <col min="13593" max="13593" width="2.875" style="290" customWidth="1"/>
    <col min="13594" max="13594" width="4.375" style="290" customWidth="1"/>
    <col min="13595" max="13595" width="1.375" style="290" customWidth="1"/>
    <col min="13596" max="13824" width="3.625" style="290" customWidth="1"/>
    <col min="13825" max="13825" width="0.875" style="290" customWidth="1"/>
    <col min="13826" max="13826" width="2.875" style="290" customWidth="1"/>
    <col min="13827" max="13832" width="3.625" style="290" customWidth="1"/>
    <col min="13833" max="13833" width="3.25" style="290" customWidth="1"/>
    <col min="13834" max="13848" width="3.625" style="290" customWidth="1"/>
    <col min="13849" max="13849" width="2.875" style="290" customWidth="1"/>
    <col min="13850" max="13850" width="4.375" style="290" customWidth="1"/>
    <col min="13851" max="13851" width="1.375" style="290" customWidth="1"/>
    <col min="13852" max="14080" width="3.625" style="290" customWidth="1"/>
    <col min="14081" max="14081" width="0.875" style="290" customWidth="1"/>
    <col min="14082" max="14082" width="2.875" style="290" customWidth="1"/>
    <col min="14083" max="14088" width="3.625" style="290" customWidth="1"/>
    <col min="14089" max="14089" width="3.25" style="290" customWidth="1"/>
    <col min="14090" max="14104" width="3.625" style="290" customWidth="1"/>
    <col min="14105" max="14105" width="2.875" style="290" customWidth="1"/>
    <col min="14106" max="14106" width="4.375" style="290" customWidth="1"/>
    <col min="14107" max="14107" width="1.375" style="290" customWidth="1"/>
    <col min="14108" max="14336" width="3.625" style="290" customWidth="1"/>
    <col min="14337" max="14337" width="0.875" style="290" customWidth="1"/>
    <col min="14338" max="14338" width="2.875" style="290" customWidth="1"/>
    <col min="14339" max="14344" width="3.625" style="290" customWidth="1"/>
    <col min="14345" max="14345" width="3.25" style="290" customWidth="1"/>
    <col min="14346" max="14360" width="3.625" style="290" customWidth="1"/>
    <col min="14361" max="14361" width="2.875" style="290" customWidth="1"/>
    <col min="14362" max="14362" width="4.375" style="290" customWidth="1"/>
    <col min="14363" max="14363" width="1.375" style="290" customWidth="1"/>
    <col min="14364" max="14592" width="3.625" style="290" customWidth="1"/>
    <col min="14593" max="14593" width="0.875" style="290" customWidth="1"/>
    <col min="14594" max="14594" width="2.875" style="290" customWidth="1"/>
    <col min="14595" max="14600" width="3.625" style="290" customWidth="1"/>
    <col min="14601" max="14601" width="3.25" style="290" customWidth="1"/>
    <col min="14602" max="14616" width="3.625" style="290" customWidth="1"/>
    <col min="14617" max="14617" width="2.875" style="290" customWidth="1"/>
    <col min="14618" max="14618" width="4.375" style="290" customWidth="1"/>
    <col min="14619" max="14619" width="1.375" style="290" customWidth="1"/>
    <col min="14620" max="14848" width="3.625" style="290" customWidth="1"/>
    <col min="14849" max="14849" width="0.875" style="290" customWidth="1"/>
    <col min="14850" max="14850" width="2.875" style="290" customWidth="1"/>
    <col min="14851" max="14856" width="3.625" style="290" customWidth="1"/>
    <col min="14857" max="14857" width="3.25" style="290" customWidth="1"/>
    <col min="14858" max="14872" width="3.625" style="290" customWidth="1"/>
    <col min="14873" max="14873" width="2.875" style="290" customWidth="1"/>
    <col min="14874" max="14874" width="4.375" style="290" customWidth="1"/>
    <col min="14875" max="14875" width="1.375" style="290" customWidth="1"/>
    <col min="14876" max="15104" width="3.625" style="290" customWidth="1"/>
    <col min="15105" max="15105" width="0.875" style="290" customWidth="1"/>
    <col min="15106" max="15106" width="2.875" style="290" customWidth="1"/>
    <col min="15107" max="15112" width="3.625" style="290" customWidth="1"/>
    <col min="15113" max="15113" width="3.25" style="290" customWidth="1"/>
    <col min="15114" max="15128" width="3.625" style="290" customWidth="1"/>
    <col min="15129" max="15129" width="2.875" style="290" customWidth="1"/>
    <col min="15130" max="15130" width="4.375" style="290" customWidth="1"/>
    <col min="15131" max="15131" width="1.375" style="290" customWidth="1"/>
    <col min="15132" max="15360" width="3.625" style="290" customWidth="1"/>
    <col min="15361" max="15361" width="0.875" style="290" customWidth="1"/>
    <col min="15362" max="15362" width="2.875" style="290" customWidth="1"/>
    <col min="15363" max="15368" width="3.625" style="290" customWidth="1"/>
    <col min="15369" max="15369" width="3.25" style="290" customWidth="1"/>
    <col min="15370" max="15384" width="3.625" style="290" customWidth="1"/>
    <col min="15385" max="15385" width="2.875" style="290" customWidth="1"/>
    <col min="15386" max="15386" width="4.375" style="290" customWidth="1"/>
    <col min="15387" max="15387" width="1.375" style="290" customWidth="1"/>
    <col min="15388" max="15616" width="3.625" style="290" customWidth="1"/>
    <col min="15617" max="15617" width="0.875" style="290" customWidth="1"/>
    <col min="15618" max="15618" width="2.875" style="290" customWidth="1"/>
    <col min="15619" max="15624" width="3.625" style="290" customWidth="1"/>
    <col min="15625" max="15625" width="3.25" style="290" customWidth="1"/>
    <col min="15626" max="15640" width="3.625" style="290" customWidth="1"/>
    <col min="15641" max="15641" width="2.875" style="290" customWidth="1"/>
    <col min="15642" max="15642" width="4.375" style="290" customWidth="1"/>
    <col min="15643" max="15643" width="1.375" style="290" customWidth="1"/>
    <col min="15644" max="15872" width="3.625" style="290" customWidth="1"/>
    <col min="15873" max="15873" width="0.875" style="290" customWidth="1"/>
    <col min="15874" max="15874" width="2.875" style="290" customWidth="1"/>
    <col min="15875" max="15880" width="3.625" style="290" customWidth="1"/>
    <col min="15881" max="15881" width="3.25" style="290" customWidth="1"/>
    <col min="15882" max="15896" width="3.625" style="290" customWidth="1"/>
    <col min="15897" max="15897" width="2.875" style="290" customWidth="1"/>
    <col min="15898" max="15898" width="4.375" style="290" customWidth="1"/>
    <col min="15899" max="15899" width="1.375" style="290" customWidth="1"/>
    <col min="15900" max="16128" width="3.625" style="290" customWidth="1"/>
    <col min="16129" max="16129" width="0.875" style="290" customWidth="1"/>
    <col min="16130" max="16130" width="2.875" style="290" customWidth="1"/>
    <col min="16131" max="16136" width="3.625" style="290" customWidth="1"/>
    <col min="16137" max="16137" width="3.25" style="290" customWidth="1"/>
    <col min="16138" max="16152" width="3.625" style="290" customWidth="1"/>
    <col min="16153" max="16153" width="2.875" style="290" customWidth="1"/>
    <col min="16154" max="16154" width="4.375" style="290" customWidth="1"/>
    <col min="16155" max="16155" width="1.375" style="290" customWidth="1"/>
    <col min="16156" max="16384" width="3.625" style="290" customWidth="1"/>
  </cols>
  <sheetData>
    <row r="1" spans="1:27" ht="15.75" customHeight="1">
      <c r="B1" s="291" t="s">
        <v>2807</v>
      </c>
    </row>
    <row r="2" spans="1:27" ht="15.75" customHeight="1">
      <c r="B2" s="722" t="s">
        <v>2808</v>
      </c>
      <c r="C2" s="722"/>
      <c r="D2" s="722"/>
      <c r="E2" s="722"/>
      <c r="F2" s="722"/>
      <c r="G2" s="722"/>
      <c r="H2" s="722"/>
      <c r="I2" s="722"/>
      <c r="J2" s="722"/>
      <c r="K2" s="722"/>
      <c r="L2" s="722"/>
      <c r="M2" s="722"/>
      <c r="N2" s="722"/>
      <c r="O2" s="722"/>
      <c r="P2" s="722"/>
      <c r="Q2" s="722"/>
      <c r="R2" s="722"/>
      <c r="S2" s="722"/>
      <c r="T2" s="722"/>
      <c r="U2" s="722"/>
      <c r="V2" s="722"/>
      <c r="W2" s="722"/>
      <c r="X2" s="722"/>
      <c r="Y2" s="722"/>
      <c r="Z2" s="722"/>
      <c r="AA2" s="722"/>
    </row>
    <row r="3" spans="1:27" ht="12" customHeight="1">
      <c r="T3" s="777"/>
      <c r="U3" s="777"/>
      <c r="V3" s="722" t="s">
        <v>464</v>
      </c>
      <c r="W3" s="777"/>
      <c r="X3" s="722" t="s">
        <v>1</v>
      </c>
      <c r="Y3" s="777"/>
      <c r="Z3" s="722" t="s">
        <v>465</v>
      </c>
    </row>
    <row r="4" spans="1:27" ht="12" customHeight="1">
      <c r="T4" s="777"/>
      <c r="U4" s="777"/>
      <c r="V4" s="722"/>
      <c r="W4" s="777"/>
      <c r="X4" s="722"/>
      <c r="Y4" s="777"/>
      <c r="Z4" s="722"/>
    </row>
    <row r="5" spans="1:27" ht="18" customHeight="1">
      <c r="B5" s="385" t="str">
        <f ca="1">cst_Pre_Corp__SHINSEI</f>
        <v>一般財団法人静岡県建築住宅まちづくりセンター</v>
      </c>
      <c r="C5" s="292"/>
      <c r="D5" s="292"/>
      <c r="E5" s="292"/>
      <c r="F5" s="292"/>
      <c r="G5" s="292"/>
      <c r="H5" s="292"/>
      <c r="I5" s="292"/>
      <c r="J5" s="292"/>
      <c r="K5" s="292"/>
    </row>
    <row r="6" spans="1:27" ht="18" customHeight="1">
      <c r="D6" s="385" t="str">
        <f ca="1">cst_Pre_Daihyou__SHINSEI</f>
        <v>理事長 　柳　敏幸</v>
      </c>
      <c r="L6" s="290" t="s">
        <v>2796</v>
      </c>
    </row>
    <row r="7" spans="1:27" ht="18" customHeight="1">
      <c r="M7" s="278"/>
      <c r="N7" s="278"/>
      <c r="O7" s="775" t="s">
        <v>2831</v>
      </c>
      <c r="P7" s="775"/>
      <c r="Q7" s="752" t="str">
        <f>cst_wskakunin_owner1__address</f>
        <v>静岡県静岡市葵区新伝馬二丁目8-41-101</v>
      </c>
      <c r="R7" s="752"/>
      <c r="S7" s="752"/>
      <c r="T7" s="752"/>
      <c r="U7" s="752"/>
      <c r="V7" s="752"/>
      <c r="W7" s="752"/>
      <c r="X7" s="752"/>
      <c r="Y7" s="752"/>
      <c r="Z7" s="752"/>
    </row>
    <row r="8" spans="1:27" ht="18" customHeight="1">
      <c r="M8" s="278"/>
      <c r="N8" s="280" t="s">
        <v>2797</v>
      </c>
      <c r="O8" s="278"/>
      <c r="P8" s="278"/>
      <c r="Q8" s="752"/>
      <c r="R8" s="752"/>
      <c r="S8" s="752"/>
      <c r="T8" s="752"/>
      <c r="U8" s="752"/>
      <c r="V8" s="752"/>
      <c r="W8" s="752"/>
      <c r="X8" s="752"/>
      <c r="Y8" s="752"/>
      <c r="Z8" s="752"/>
    </row>
    <row r="9" spans="1:27" ht="18" customHeight="1">
      <c r="M9" s="278"/>
      <c r="N9" s="278"/>
      <c r="O9" s="775" t="s">
        <v>3040</v>
      </c>
      <c r="P9" s="775"/>
      <c r="Q9" s="752" t="str">
        <f>cst_wskakunin_owner1__space3</f>
        <v>菅野　幸子</v>
      </c>
      <c r="R9" s="752"/>
      <c r="S9" s="752"/>
      <c r="T9" s="752"/>
      <c r="U9" s="752"/>
      <c r="V9" s="752"/>
      <c r="W9" s="752"/>
      <c r="X9" s="752"/>
      <c r="Y9" s="752"/>
      <c r="Z9" s="752"/>
    </row>
    <row r="10" spans="1:27" ht="16.5" customHeight="1">
      <c r="M10" s="278"/>
      <c r="N10" s="278"/>
      <c r="O10" s="278"/>
      <c r="P10" s="278"/>
      <c r="Q10" s="752"/>
      <c r="R10" s="752"/>
      <c r="S10" s="752"/>
      <c r="T10" s="752"/>
      <c r="U10" s="752"/>
      <c r="V10" s="752"/>
      <c r="W10" s="752"/>
      <c r="X10" s="752"/>
      <c r="Y10" s="752"/>
      <c r="Z10" s="752"/>
    </row>
    <row r="11" spans="1:27" ht="18" customHeight="1">
      <c r="B11" s="709" t="s">
        <v>3018</v>
      </c>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row>
    <row r="12" spans="1:27" ht="18" customHeight="1">
      <c r="B12" s="709" t="s">
        <v>3019</v>
      </c>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row>
    <row r="13" spans="1:27" ht="25.5" customHeight="1">
      <c r="A13" s="710" t="s">
        <v>2809</v>
      </c>
      <c r="B13" s="710"/>
      <c r="C13" s="710"/>
      <c r="D13" s="710"/>
      <c r="E13" s="710"/>
      <c r="F13" s="710"/>
      <c r="G13" s="710"/>
      <c r="H13" s="710"/>
      <c r="I13" s="439"/>
      <c r="J13" s="776">
        <f ca="1">cst_ISSUE_DATE_select</f>
        <v>44958</v>
      </c>
      <c r="K13" s="776"/>
      <c r="L13" s="440" t="s">
        <v>464</v>
      </c>
      <c r="M13" s="441">
        <f ca="1">cst_ISSUE_DATE_select</f>
        <v>44958</v>
      </c>
      <c r="N13" s="440" t="s">
        <v>1</v>
      </c>
      <c r="O13" s="442">
        <f ca="1">cst_ISSUE_DATE_select</f>
        <v>44958</v>
      </c>
      <c r="P13" s="440" t="s">
        <v>465</v>
      </c>
      <c r="Q13" s="440"/>
      <c r="R13" s="716" t="str">
        <f ca="1">IF(cst_ISSUE_NO_select="","第　　　　　　　号",IF(COUNTIF(cst_ISSUE_NO_select,"*第*")&gt;0,"","第")&amp;cst_ISSUE_NO_select&amp;IF(COUNTIF(cst_ISSUE_NO_select,"*号*")&gt;0,"","号"))</f>
        <v>第 2022確認建築静建住ま10505 号</v>
      </c>
      <c r="S13" s="716"/>
      <c r="T13" s="716"/>
      <c r="U13" s="716"/>
      <c r="V13" s="716"/>
      <c r="W13" s="716"/>
      <c r="X13" s="716"/>
      <c r="Y13" s="716"/>
      <c r="Z13" s="716"/>
      <c r="AA13" s="717"/>
    </row>
    <row r="14" spans="1:27" ht="25.5" customHeight="1">
      <c r="A14" s="710" t="s">
        <v>2810</v>
      </c>
      <c r="B14" s="710"/>
      <c r="C14" s="710"/>
      <c r="D14" s="710"/>
      <c r="E14" s="710"/>
      <c r="F14" s="710"/>
      <c r="G14" s="710"/>
      <c r="H14" s="710"/>
      <c r="I14" s="753" t="str">
        <f>cst_wskakunin_owner1__space</f>
        <v>菅野　幸子</v>
      </c>
      <c r="J14" s="754"/>
      <c r="K14" s="754"/>
      <c r="L14" s="754"/>
      <c r="M14" s="754"/>
      <c r="N14" s="754"/>
      <c r="O14" s="754"/>
      <c r="P14" s="754"/>
      <c r="Q14" s="754"/>
      <c r="R14" s="754"/>
      <c r="S14" s="754"/>
      <c r="T14" s="754"/>
      <c r="U14" s="754"/>
      <c r="V14" s="754"/>
      <c r="W14" s="754"/>
      <c r="X14" s="754"/>
      <c r="Y14" s="754"/>
      <c r="Z14" s="754"/>
      <c r="AA14" s="755"/>
    </row>
    <row r="15" spans="1:27" ht="26.25" customHeight="1">
      <c r="A15" s="710" t="s">
        <v>2811</v>
      </c>
      <c r="B15" s="710"/>
      <c r="C15" s="710"/>
      <c r="D15" s="710"/>
      <c r="E15" s="710"/>
      <c r="F15" s="710"/>
      <c r="G15" s="710"/>
      <c r="H15" s="710"/>
      <c r="I15" s="711" t="str">
        <f>cst_wskakunin_BUILD__address</f>
        <v>静岡県静岡市葵区平和二丁目215-8</v>
      </c>
      <c r="J15" s="712"/>
      <c r="K15" s="712"/>
      <c r="L15" s="712"/>
      <c r="M15" s="712"/>
      <c r="N15" s="712"/>
      <c r="O15" s="712"/>
      <c r="P15" s="712"/>
      <c r="Q15" s="712"/>
      <c r="R15" s="712"/>
      <c r="S15" s="712"/>
      <c r="T15" s="712"/>
      <c r="U15" s="712"/>
      <c r="V15" s="712"/>
      <c r="W15" s="712"/>
      <c r="X15" s="712"/>
      <c r="Y15" s="712"/>
      <c r="Z15" s="712"/>
      <c r="AA15" s="713"/>
    </row>
    <row r="16" spans="1:27" ht="26.25" customHeight="1">
      <c r="A16" s="710" t="s">
        <v>2812</v>
      </c>
      <c r="B16" s="710"/>
      <c r="C16" s="710"/>
      <c r="D16" s="710"/>
      <c r="E16" s="710"/>
      <c r="F16" s="710"/>
      <c r="G16" s="710"/>
      <c r="H16" s="710"/>
      <c r="I16" s="714" t="str">
        <f>cst_wskakunin_YOUTO</f>
        <v/>
      </c>
      <c r="J16" s="715"/>
      <c r="K16" s="715"/>
      <c r="L16" s="715"/>
      <c r="M16" s="715"/>
      <c r="N16" s="715"/>
      <c r="O16" s="715"/>
      <c r="P16" s="715"/>
      <c r="Q16" s="715"/>
      <c r="R16" s="716" t="str">
        <f>cst_wskakunin_KOUZOU</f>
        <v/>
      </c>
      <c r="S16" s="716"/>
      <c r="T16" s="716"/>
      <c r="U16" s="716"/>
      <c r="V16" s="716"/>
      <c r="W16" s="716"/>
      <c r="X16" s="716"/>
      <c r="Y16" s="716"/>
      <c r="Z16" s="716"/>
      <c r="AA16" s="717"/>
    </row>
    <row r="17" spans="1:27" ht="17.25" customHeight="1">
      <c r="A17" s="767" t="s">
        <v>2813</v>
      </c>
      <c r="B17" s="768"/>
      <c r="C17" s="737" t="s">
        <v>2814</v>
      </c>
      <c r="D17" s="740"/>
      <c r="E17" s="740"/>
      <c r="F17" s="740"/>
      <c r="G17" s="740"/>
      <c r="H17" s="770"/>
      <c r="I17" s="727" t="s">
        <v>2815</v>
      </c>
      <c r="J17" s="728" t="s">
        <v>2816</v>
      </c>
      <c r="K17" s="740"/>
      <c r="L17" s="740"/>
      <c r="M17" s="740"/>
      <c r="N17" s="740"/>
      <c r="O17" s="770"/>
      <c r="P17" s="756"/>
      <c r="Q17" s="757"/>
      <c r="R17" s="757"/>
      <c r="S17" s="757"/>
      <c r="T17" s="757"/>
      <c r="U17" s="757"/>
      <c r="V17" s="757"/>
      <c r="W17" s="757"/>
      <c r="X17" s="757"/>
      <c r="Y17" s="757"/>
      <c r="Z17" s="757"/>
      <c r="AA17" s="758"/>
    </row>
    <row r="18" spans="1:27" ht="18" customHeight="1">
      <c r="A18" s="721"/>
      <c r="B18" s="723"/>
      <c r="C18" s="741"/>
      <c r="D18" s="742"/>
      <c r="E18" s="742"/>
      <c r="F18" s="742"/>
      <c r="G18" s="742"/>
      <c r="H18" s="773"/>
      <c r="I18" s="724"/>
      <c r="J18" s="771"/>
      <c r="K18" s="771"/>
      <c r="L18" s="771"/>
      <c r="M18" s="771"/>
      <c r="N18" s="771"/>
      <c r="O18" s="772"/>
      <c r="P18" s="762"/>
      <c r="Q18" s="763"/>
      <c r="R18" s="763"/>
      <c r="S18" s="763"/>
      <c r="T18" s="763"/>
      <c r="U18" s="763"/>
      <c r="V18" s="763"/>
      <c r="W18" s="763"/>
      <c r="X18" s="763"/>
      <c r="Y18" s="763"/>
      <c r="Z18" s="763"/>
      <c r="AA18" s="764"/>
    </row>
    <row r="19" spans="1:27" ht="18" customHeight="1">
      <c r="A19" s="721"/>
      <c r="B19" s="723"/>
      <c r="C19" s="741"/>
      <c r="D19" s="742"/>
      <c r="E19" s="742"/>
      <c r="F19" s="742"/>
      <c r="G19" s="742"/>
      <c r="H19" s="773"/>
      <c r="I19" s="727" t="s">
        <v>2817</v>
      </c>
      <c r="J19" s="728" t="s">
        <v>2816</v>
      </c>
      <c r="K19" s="728"/>
      <c r="L19" s="728"/>
      <c r="M19" s="728"/>
      <c r="N19" s="728"/>
      <c r="O19" s="729"/>
      <c r="P19" s="756"/>
      <c r="Q19" s="757"/>
      <c r="R19" s="757"/>
      <c r="S19" s="757"/>
      <c r="T19" s="757"/>
      <c r="U19" s="757"/>
      <c r="V19" s="757"/>
      <c r="W19" s="757"/>
      <c r="X19" s="757"/>
      <c r="Y19" s="757"/>
      <c r="Z19" s="757"/>
      <c r="AA19" s="758"/>
    </row>
    <row r="20" spans="1:27" ht="17.25" customHeight="1">
      <c r="A20" s="721"/>
      <c r="B20" s="723"/>
      <c r="C20" s="774"/>
      <c r="D20" s="771"/>
      <c r="E20" s="771"/>
      <c r="F20" s="771"/>
      <c r="G20" s="771"/>
      <c r="H20" s="772"/>
      <c r="I20" s="724"/>
      <c r="J20" s="732"/>
      <c r="K20" s="732"/>
      <c r="L20" s="732"/>
      <c r="M20" s="732"/>
      <c r="N20" s="732"/>
      <c r="O20" s="733"/>
      <c r="P20" s="762"/>
      <c r="Q20" s="763"/>
      <c r="R20" s="763"/>
      <c r="S20" s="763"/>
      <c r="T20" s="763"/>
      <c r="U20" s="763"/>
      <c r="V20" s="763"/>
      <c r="W20" s="763"/>
      <c r="X20" s="763"/>
      <c r="Y20" s="763"/>
      <c r="Z20" s="763"/>
      <c r="AA20" s="764"/>
    </row>
    <row r="21" spans="1:27" ht="14.25" customHeight="1">
      <c r="A21" s="721"/>
      <c r="B21" s="723"/>
      <c r="C21" s="737" t="s">
        <v>2818</v>
      </c>
      <c r="D21" s="728"/>
      <c r="E21" s="728"/>
      <c r="F21" s="728"/>
      <c r="G21" s="728"/>
      <c r="H21" s="729"/>
      <c r="I21" s="727" t="s">
        <v>2815</v>
      </c>
      <c r="J21" s="728" t="s">
        <v>2819</v>
      </c>
      <c r="K21" s="728"/>
      <c r="L21" s="728"/>
      <c r="M21" s="728"/>
      <c r="N21" s="728"/>
      <c r="O21" s="729"/>
      <c r="P21" s="399" t="s">
        <v>2820</v>
      </c>
      <c r="Q21" s="399"/>
      <c r="R21" s="399"/>
      <c r="S21" s="399"/>
      <c r="T21" s="399"/>
      <c r="U21" s="399"/>
      <c r="V21" s="399"/>
      <c r="W21" s="399"/>
      <c r="X21" s="399"/>
      <c r="Y21" s="399"/>
      <c r="Z21" s="399"/>
      <c r="AA21" s="400"/>
    </row>
    <row r="22" spans="1:27" ht="14.25" customHeight="1">
      <c r="A22" s="721"/>
      <c r="B22" s="723"/>
      <c r="C22" s="738"/>
      <c r="D22" s="730"/>
      <c r="E22" s="730"/>
      <c r="F22" s="730"/>
      <c r="G22" s="730"/>
      <c r="H22" s="731"/>
      <c r="I22" s="721"/>
      <c r="J22" s="730"/>
      <c r="K22" s="730"/>
      <c r="L22" s="730"/>
      <c r="M22" s="730"/>
      <c r="N22" s="730"/>
      <c r="O22" s="731"/>
      <c r="P22" s="401" t="s">
        <v>2821</v>
      </c>
      <c r="Q22" s="401"/>
      <c r="R22" s="401"/>
      <c r="S22" s="401"/>
      <c r="T22" s="401"/>
      <c r="U22" s="401"/>
      <c r="V22" s="401"/>
      <c r="W22" s="401"/>
      <c r="X22" s="401"/>
      <c r="Y22" s="401"/>
      <c r="Z22" s="401"/>
      <c r="AA22" s="402"/>
    </row>
    <row r="23" spans="1:27" ht="14.25" customHeight="1">
      <c r="A23" s="721"/>
      <c r="B23" s="723"/>
      <c r="C23" s="738"/>
      <c r="D23" s="730"/>
      <c r="E23" s="730"/>
      <c r="F23" s="730"/>
      <c r="G23" s="730"/>
      <c r="H23" s="731"/>
      <c r="I23" s="721"/>
      <c r="J23" s="730"/>
      <c r="K23" s="730"/>
      <c r="L23" s="730"/>
      <c r="M23" s="730"/>
      <c r="N23" s="730"/>
      <c r="O23" s="731"/>
      <c r="P23" s="401"/>
      <c r="Q23" s="401"/>
      <c r="R23" s="401"/>
      <c r="S23" s="401"/>
      <c r="T23" s="401" t="s">
        <v>14</v>
      </c>
      <c r="U23" s="401"/>
      <c r="V23" s="401"/>
      <c r="W23" s="401"/>
      <c r="X23" s="401"/>
      <c r="Y23" s="401"/>
      <c r="Z23" s="401"/>
      <c r="AA23" s="402"/>
    </row>
    <row r="24" spans="1:27" ht="14.25" customHeight="1">
      <c r="A24" s="721"/>
      <c r="B24" s="723"/>
      <c r="C24" s="738"/>
      <c r="D24" s="730"/>
      <c r="E24" s="730"/>
      <c r="F24" s="730"/>
      <c r="G24" s="730"/>
      <c r="H24" s="731"/>
      <c r="I24" s="721"/>
      <c r="J24" s="732"/>
      <c r="K24" s="732"/>
      <c r="L24" s="732"/>
      <c r="M24" s="732"/>
      <c r="N24" s="732"/>
      <c r="O24" s="733"/>
      <c r="P24" s="401"/>
      <c r="Q24" s="401"/>
      <c r="R24" s="401"/>
      <c r="S24" s="401"/>
      <c r="T24" s="401"/>
      <c r="U24" s="401"/>
      <c r="V24" s="401"/>
      <c r="W24" s="401"/>
      <c r="X24" s="401"/>
      <c r="Y24" s="401"/>
      <c r="Z24" s="401"/>
      <c r="AA24" s="402"/>
    </row>
    <row r="25" spans="1:27" ht="14.25" customHeight="1">
      <c r="A25" s="721"/>
      <c r="B25" s="723"/>
      <c r="C25" s="738"/>
      <c r="D25" s="730"/>
      <c r="E25" s="730"/>
      <c r="F25" s="730"/>
      <c r="G25" s="730"/>
      <c r="H25" s="731"/>
      <c r="I25" s="727" t="s">
        <v>2817</v>
      </c>
      <c r="J25" s="728" t="s">
        <v>2819</v>
      </c>
      <c r="K25" s="728"/>
      <c r="L25" s="728"/>
      <c r="M25" s="728"/>
      <c r="N25" s="728"/>
      <c r="O25" s="729"/>
      <c r="P25" s="399" t="s">
        <v>2820</v>
      </c>
      <c r="Q25" s="399"/>
      <c r="R25" s="399"/>
      <c r="S25" s="399"/>
      <c r="T25" s="399"/>
      <c r="U25" s="399"/>
      <c r="V25" s="399"/>
      <c r="W25" s="399"/>
      <c r="X25" s="399"/>
      <c r="Y25" s="399"/>
      <c r="Z25" s="399"/>
      <c r="AA25" s="400"/>
    </row>
    <row r="26" spans="1:27" ht="14.25" customHeight="1">
      <c r="A26" s="721"/>
      <c r="B26" s="723"/>
      <c r="C26" s="738"/>
      <c r="D26" s="730"/>
      <c r="E26" s="730"/>
      <c r="F26" s="730"/>
      <c r="G26" s="730"/>
      <c r="H26" s="731"/>
      <c r="I26" s="721"/>
      <c r="J26" s="730"/>
      <c r="K26" s="730"/>
      <c r="L26" s="730"/>
      <c r="M26" s="730"/>
      <c r="N26" s="730"/>
      <c r="O26" s="731"/>
      <c r="P26" s="401" t="s">
        <v>2821</v>
      </c>
      <c r="Q26" s="401"/>
      <c r="R26" s="401"/>
      <c r="S26" s="401"/>
      <c r="T26" s="401"/>
      <c r="U26" s="401"/>
      <c r="V26" s="401"/>
      <c r="W26" s="401"/>
      <c r="X26" s="401"/>
      <c r="Y26" s="401"/>
      <c r="Z26" s="401"/>
      <c r="AA26" s="402"/>
    </row>
    <row r="27" spans="1:27" ht="14.25" customHeight="1">
      <c r="A27" s="721"/>
      <c r="B27" s="723"/>
      <c r="C27" s="738"/>
      <c r="D27" s="730"/>
      <c r="E27" s="730"/>
      <c r="F27" s="730"/>
      <c r="G27" s="730"/>
      <c r="H27" s="731"/>
      <c r="I27" s="721"/>
      <c r="J27" s="730"/>
      <c r="K27" s="730"/>
      <c r="L27" s="730"/>
      <c r="M27" s="730"/>
      <c r="N27" s="730"/>
      <c r="O27" s="731"/>
      <c r="P27" s="401"/>
      <c r="Q27" s="401"/>
      <c r="R27" s="401"/>
      <c r="S27" s="401"/>
      <c r="T27" s="401" t="s">
        <v>14</v>
      </c>
      <c r="U27" s="401"/>
      <c r="V27" s="401"/>
      <c r="W27" s="401"/>
      <c r="X27" s="401"/>
      <c r="Y27" s="401"/>
      <c r="Z27" s="401"/>
      <c r="AA27" s="402"/>
    </row>
    <row r="28" spans="1:27" ht="14.25" customHeight="1">
      <c r="A28" s="721"/>
      <c r="B28" s="723"/>
      <c r="C28" s="738"/>
      <c r="D28" s="730"/>
      <c r="E28" s="730"/>
      <c r="F28" s="730"/>
      <c r="G28" s="730"/>
      <c r="H28" s="731"/>
      <c r="I28" s="721"/>
      <c r="J28" s="732"/>
      <c r="K28" s="732"/>
      <c r="L28" s="732"/>
      <c r="M28" s="732"/>
      <c r="N28" s="732"/>
      <c r="O28" s="733"/>
      <c r="P28" s="401"/>
      <c r="Q28" s="401"/>
      <c r="R28" s="401"/>
      <c r="S28" s="401"/>
      <c r="T28" s="401"/>
      <c r="U28" s="401"/>
      <c r="V28" s="401"/>
      <c r="W28" s="401"/>
      <c r="X28" s="401"/>
      <c r="Y28" s="401"/>
      <c r="Z28" s="401"/>
      <c r="AA28" s="402"/>
    </row>
    <row r="29" spans="1:27" ht="15" customHeight="1">
      <c r="A29" s="721"/>
      <c r="B29" s="723"/>
      <c r="C29" s="737" t="s">
        <v>2822</v>
      </c>
      <c r="D29" s="728"/>
      <c r="E29" s="728"/>
      <c r="F29" s="728"/>
      <c r="G29" s="728"/>
      <c r="H29" s="729"/>
      <c r="I29" s="737" t="s">
        <v>2823</v>
      </c>
      <c r="J29" s="728"/>
      <c r="K29" s="728"/>
      <c r="L29" s="728"/>
      <c r="M29" s="728"/>
      <c r="N29" s="728"/>
      <c r="O29" s="729"/>
      <c r="P29" s="399" t="s">
        <v>2820</v>
      </c>
      <c r="Q29" s="399"/>
      <c r="R29" s="399"/>
      <c r="S29" s="399"/>
      <c r="T29" s="399"/>
      <c r="U29" s="399"/>
      <c r="V29" s="399"/>
      <c r="W29" s="399"/>
      <c r="X29" s="399"/>
      <c r="Y29" s="399"/>
      <c r="Z29" s="399"/>
      <c r="AA29" s="400"/>
    </row>
    <row r="30" spans="1:27" ht="15" customHeight="1">
      <c r="A30" s="721"/>
      <c r="B30" s="723"/>
      <c r="C30" s="738"/>
      <c r="D30" s="730"/>
      <c r="E30" s="730"/>
      <c r="F30" s="730"/>
      <c r="G30" s="730"/>
      <c r="H30" s="731"/>
      <c r="I30" s="738"/>
      <c r="J30" s="730"/>
      <c r="K30" s="730"/>
      <c r="L30" s="730"/>
      <c r="M30" s="730"/>
      <c r="N30" s="730"/>
      <c r="O30" s="731"/>
      <c r="P30" s="401" t="s">
        <v>2821</v>
      </c>
      <c r="Q30" s="401"/>
      <c r="R30" s="401"/>
      <c r="S30" s="401"/>
      <c r="T30" s="401"/>
      <c r="U30" s="401"/>
      <c r="V30" s="401"/>
      <c r="W30" s="401"/>
      <c r="X30" s="401"/>
      <c r="Y30" s="401"/>
      <c r="Z30" s="401"/>
      <c r="AA30" s="402"/>
    </row>
    <row r="31" spans="1:27" ht="15" customHeight="1">
      <c r="A31" s="721"/>
      <c r="B31" s="723"/>
      <c r="C31" s="738"/>
      <c r="D31" s="730"/>
      <c r="E31" s="730"/>
      <c r="F31" s="730"/>
      <c r="G31" s="730"/>
      <c r="H31" s="731"/>
      <c r="I31" s="738"/>
      <c r="J31" s="730"/>
      <c r="K31" s="730"/>
      <c r="L31" s="730"/>
      <c r="M31" s="730"/>
      <c r="N31" s="730"/>
      <c r="O31" s="731"/>
      <c r="P31" s="401"/>
      <c r="Q31" s="401"/>
      <c r="R31" s="401"/>
      <c r="S31" s="401"/>
      <c r="T31" s="401" t="s">
        <v>14</v>
      </c>
      <c r="U31" s="401"/>
      <c r="V31" s="401"/>
      <c r="W31" s="401"/>
      <c r="X31" s="401"/>
      <c r="Y31" s="401"/>
      <c r="Z31" s="401"/>
      <c r="AA31" s="402"/>
    </row>
    <row r="32" spans="1:27" ht="12.75" customHeight="1">
      <c r="A32" s="721"/>
      <c r="B32" s="723"/>
      <c r="C32" s="769"/>
      <c r="D32" s="732"/>
      <c r="E32" s="732"/>
      <c r="F32" s="732"/>
      <c r="G32" s="732"/>
      <c r="H32" s="733"/>
      <c r="I32" s="769"/>
      <c r="J32" s="732"/>
      <c r="K32" s="732"/>
      <c r="L32" s="732"/>
      <c r="M32" s="732"/>
      <c r="N32" s="732"/>
      <c r="O32" s="733"/>
      <c r="P32" s="401"/>
      <c r="Q32" s="401"/>
      <c r="R32" s="401"/>
      <c r="S32" s="401"/>
      <c r="T32" s="401"/>
      <c r="U32" s="401"/>
      <c r="V32" s="401"/>
      <c r="W32" s="401"/>
      <c r="X32" s="401"/>
      <c r="Y32" s="401"/>
      <c r="Z32" s="401"/>
      <c r="AA32" s="403"/>
    </row>
    <row r="33" spans="1:27" ht="12.75" customHeight="1">
      <c r="A33" s="721"/>
      <c r="B33" s="723"/>
      <c r="C33" s="737" t="s">
        <v>2824</v>
      </c>
      <c r="D33" s="728"/>
      <c r="E33" s="728"/>
      <c r="F33" s="728"/>
      <c r="G33" s="728"/>
      <c r="H33" s="729"/>
      <c r="I33" s="737" t="s">
        <v>2825</v>
      </c>
      <c r="J33" s="728"/>
      <c r="K33" s="728"/>
      <c r="L33" s="728"/>
      <c r="M33" s="728"/>
      <c r="N33" s="728"/>
      <c r="O33" s="729"/>
      <c r="P33" s="399"/>
      <c r="Q33" s="399"/>
      <c r="R33" s="399"/>
      <c r="S33" s="399"/>
      <c r="T33" s="399"/>
      <c r="U33" s="399"/>
      <c r="V33" s="399"/>
      <c r="W33" s="399"/>
      <c r="X33" s="399"/>
      <c r="Y33" s="399"/>
      <c r="Z33" s="399"/>
      <c r="AA33" s="400"/>
    </row>
    <row r="34" spans="1:27" ht="15.75" customHeight="1">
      <c r="A34" s="721"/>
      <c r="B34" s="723"/>
      <c r="C34" s="738"/>
      <c r="D34" s="730"/>
      <c r="E34" s="730"/>
      <c r="F34" s="730"/>
      <c r="G34" s="730"/>
      <c r="H34" s="731"/>
      <c r="I34" s="738"/>
      <c r="J34" s="730"/>
      <c r="K34" s="730"/>
      <c r="L34" s="730"/>
      <c r="M34" s="730"/>
      <c r="N34" s="730"/>
      <c r="O34" s="731"/>
      <c r="P34" s="401" t="s">
        <v>2826</v>
      </c>
      <c r="Q34" s="401"/>
      <c r="R34" s="401"/>
      <c r="S34" s="401"/>
      <c r="T34" s="401"/>
      <c r="U34" s="401"/>
      <c r="V34" s="401"/>
      <c r="W34" s="401"/>
      <c r="X34" s="401"/>
      <c r="Y34" s="401"/>
      <c r="Z34" s="401"/>
      <c r="AA34" s="402"/>
    </row>
    <row r="35" spans="1:27" ht="15.75" customHeight="1">
      <c r="A35" s="721"/>
      <c r="B35" s="723"/>
      <c r="C35" s="738"/>
      <c r="D35" s="730"/>
      <c r="E35" s="730"/>
      <c r="F35" s="730"/>
      <c r="G35" s="730"/>
      <c r="H35" s="731"/>
      <c r="I35" s="738"/>
      <c r="J35" s="730"/>
      <c r="K35" s="730"/>
      <c r="L35" s="730"/>
      <c r="M35" s="730"/>
      <c r="N35" s="730"/>
      <c r="O35" s="731"/>
      <c r="P35" s="401"/>
      <c r="Q35" s="401"/>
      <c r="R35" s="401"/>
      <c r="S35" s="401"/>
      <c r="T35" s="401" t="s">
        <v>14</v>
      </c>
      <c r="U35" s="401"/>
      <c r="V35" s="401"/>
      <c r="W35" s="401"/>
      <c r="X35" s="401"/>
      <c r="Y35" s="401"/>
      <c r="Z35" s="401"/>
      <c r="AA35" s="402"/>
    </row>
    <row r="36" spans="1:27" ht="12.75" customHeight="1">
      <c r="A36" s="721"/>
      <c r="B36" s="723"/>
      <c r="C36" s="769"/>
      <c r="D36" s="732"/>
      <c r="E36" s="732"/>
      <c r="F36" s="732"/>
      <c r="G36" s="732"/>
      <c r="H36" s="733"/>
      <c r="I36" s="769"/>
      <c r="J36" s="732"/>
      <c r="K36" s="732"/>
      <c r="L36" s="732"/>
      <c r="M36" s="732"/>
      <c r="N36" s="732"/>
      <c r="O36" s="733"/>
      <c r="P36" s="404"/>
      <c r="Q36" s="404"/>
      <c r="R36" s="404"/>
      <c r="S36" s="404"/>
      <c r="T36" s="404"/>
      <c r="U36" s="404"/>
      <c r="V36" s="404"/>
      <c r="W36" s="404"/>
      <c r="X36" s="404"/>
      <c r="Y36" s="404"/>
      <c r="Z36" s="404"/>
      <c r="AA36" s="403"/>
    </row>
    <row r="37" spans="1:27" ht="15.75" customHeight="1">
      <c r="A37" s="721"/>
      <c r="B37" s="723"/>
      <c r="C37" s="737" t="s">
        <v>2</v>
      </c>
      <c r="D37" s="728"/>
      <c r="E37" s="728"/>
      <c r="F37" s="728"/>
      <c r="G37" s="728"/>
      <c r="H37" s="729"/>
      <c r="I37" s="756"/>
      <c r="J37" s="757"/>
      <c r="K37" s="757"/>
      <c r="L37" s="757"/>
      <c r="M37" s="757"/>
      <c r="N37" s="757"/>
      <c r="O37" s="758"/>
      <c r="P37" s="756"/>
      <c r="Q37" s="757"/>
      <c r="R37" s="757"/>
      <c r="S37" s="757"/>
      <c r="T37" s="757"/>
      <c r="U37" s="757"/>
      <c r="V37" s="757"/>
      <c r="W37" s="757"/>
      <c r="X37" s="757"/>
      <c r="Y37" s="757"/>
      <c r="Z37" s="757"/>
      <c r="AA37" s="758"/>
    </row>
    <row r="38" spans="1:27" ht="18" customHeight="1">
      <c r="A38" s="721"/>
      <c r="B38" s="723"/>
      <c r="C38" s="738"/>
      <c r="D38" s="730"/>
      <c r="E38" s="730"/>
      <c r="F38" s="730"/>
      <c r="G38" s="730"/>
      <c r="H38" s="731"/>
      <c r="I38" s="759"/>
      <c r="J38" s="760"/>
      <c r="K38" s="760"/>
      <c r="L38" s="760"/>
      <c r="M38" s="760"/>
      <c r="N38" s="760"/>
      <c r="O38" s="761"/>
      <c r="P38" s="759"/>
      <c r="Q38" s="760"/>
      <c r="R38" s="760"/>
      <c r="S38" s="760"/>
      <c r="T38" s="760"/>
      <c r="U38" s="760"/>
      <c r="V38" s="760"/>
      <c r="W38" s="760"/>
      <c r="X38" s="760"/>
      <c r="Y38" s="760"/>
      <c r="Z38" s="760"/>
      <c r="AA38" s="761"/>
    </row>
    <row r="39" spans="1:27" ht="18" customHeight="1">
      <c r="A39" s="724"/>
      <c r="B39" s="726"/>
      <c r="C39" s="738"/>
      <c r="D39" s="730"/>
      <c r="E39" s="730"/>
      <c r="F39" s="730"/>
      <c r="G39" s="730"/>
      <c r="H39" s="731"/>
      <c r="I39" s="762"/>
      <c r="J39" s="763"/>
      <c r="K39" s="763"/>
      <c r="L39" s="763"/>
      <c r="M39" s="763"/>
      <c r="N39" s="763"/>
      <c r="O39" s="764"/>
      <c r="P39" s="762"/>
      <c r="Q39" s="763"/>
      <c r="R39" s="763"/>
      <c r="S39" s="763"/>
      <c r="T39" s="763"/>
      <c r="U39" s="763"/>
      <c r="V39" s="763"/>
      <c r="W39" s="763"/>
      <c r="X39" s="763"/>
      <c r="Y39" s="763"/>
      <c r="Z39" s="763"/>
      <c r="AA39" s="764"/>
    </row>
    <row r="40" spans="1:27" ht="18" customHeight="1">
      <c r="A40" s="739" t="s">
        <v>2827</v>
      </c>
      <c r="B40" s="740"/>
      <c r="C40" s="740"/>
      <c r="D40" s="740"/>
      <c r="E40" s="740"/>
      <c r="F40" s="740"/>
      <c r="G40" s="740"/>
      <c r="H40" s="740"/>
      <c r="I40" s="743"/>
      <c r="J40" s="744"/>
      <c r="K40" s="744"/>
      <c r="L40" s="744"/>
      <c r="M40" s="744"/>
      <c r="N40" s="744"/>
      <c r="O40" s="744"/>
      <c r="P40" s="744"/>
      <c r="Q40" s="744"/>
      <c r="R40" s="744"/>
      <c r="S40" s="744"/>
      <c r="T40" s="744"/>
      <c r="U40" s="744"/>
      <c r="V40" s="744"/>
      <c r="W40" s="744"/>
      <c r="X40" s="744"/>
      <c r="Y40" s="744"/>
      <c r="Z40" s="744"/>
      <c r="AA40" s="745"/>
    </row>
    <row r="41" spans="1:27" ht="18" customHeight="1">
      <c r="A41" s="741"/>
      <c r="B41" s="742"/>
      <c r="C41" s="742"/>
      <c r="D41" s="742"/>
      <c r="E41" s="742"/>
      <c r="F41" s="742"/>
      <c r="G41" s="742"/>
      <c r="H41" s="742"/>
      <c r="I41" s="746"/>
      <c r="J41" s="747"/>
      <c r="K41" s="747"/>
      <c r="L41" s="747"/>
      <c r="M41" s="747"/>
      <c r="N41" s="747"/>
      <c r="O41" s="747"/>
      <c r="P41" s="747"/>
      <c r="Q41" s="747"/>
      <c r="R41" s="747"/>
      <c r="S41" s="747"/>
      <c r="T41" s="747"/>
      <c r="U41" s="747"/>
      <c r="V41" s="747"/>
      <c r="W41" s="747"/>
      <c r="X41" s="747"/>
      <c r="Y41" s="747"/>
      <c r="Z41" s="747"/>
      <c r="AA41" s="748"/>
    </row>
    <row r="42" spans="1:27" ht="18" customHeight="1" thickBot="1">
      <c r="A42" s="741"/>
      <c r="B42" s="742"/>
      <c r="C42" s="742"/>
      <c r="D42" s="742"/>
      <c r="E42" s="742"/>
      <c r="F42" s="742"/>
      <c r="G42" s="742"/>
      <c r="H42" s="742"/>
      <c r="I42" s="749"/>
      <c r="J42" s="750"/>
      <c r="K42" s="750"/>
      <c r="L42" s="750"/>
      <c r="M42" s="750"/>
      <c r="N42" s="750"/>
      <c r="O42" s="750"/>
      <c r="P42" s="750"/>
      <c r="Q42" s="750"/>
      <c r="R42" s="750"/>
      <c r="S42" s="750"/>
      <c r="T42" s="750"/>
      <c r="U42" s="750"/>
      <c r="V42" s="750"/>
      <c r="W42" s="750"/>
      <c r="X42" s="750"/>
      <c r="Y42" s="750"/>
      <c r="Z42" s="750"/>
      <c r="AA42" s="751"/>
    </row>
    <row r="43" spans="1:27" ht="15.75" customHeight="1" thickTop="1">
      <c r="A43" s="765" t="s">
        <v>2828</v>
      </c>
      <c r="B43" s="720"/>
      <c r="C43" s="718"/>
      <c r="D43" s="719"/>
      <c r="E43" s="719"/>
      <c r="F43" s="719"/>
      <c r="G43" s="719"/>
      <c r="H43" s="719"/>
      <c r="I43" s="719"/>
      <c r="J43" s="719"/>
      <c r="K43" s="719"/>
      <c r="L43" s="719"/>
      <c r="M43" s="719"/>
      <c r="N43" s="720"/>
      <c r="O43" s="734" t="s">
        <v>2829</v>
      </c>
      <c r="P43" s="718"/>
      <c r="Q43" s="719"/>
      <c r="R43" s="719"/>
      <c r="S43" s="719"/>
      <c r="T43" s="720"/>
      <c r="U43" s="734" t="s">
        <v>2830</v>
      </c>
      <c r="V43" s="718"/>
      <c r="W43" s="719"/>
      <c r="X43" s="719"/>
      <c r="Y43" s="719"/>
      <c r="Z43" s="719"/>
      <c r="AA43" s="720"/>
    </row>
    <row r="44" spans="1:27" ht="15.75" customHeight="1">
      <c r="A44" s="766"/>
      <c r="B44" s="723"/>
      <c r="C44" s="721"/>
      <c r="D44" s="722"/>
      <c r="E44" s="722"/>
      <c r="F44" s="722"/>
      <c r="G44" s="722"/>
      <c r="H44" s="722"/>
      <c r="I44" s="722"/>
      <c r="J44" s="722"/>
      <c r="K44" s="722"/>
      <c r="L44" s="722"/>
      <c r="M44" s="722"/>
      <c r="N44" s="723"/>
      <c r="O44" s="735"/>
      <c r="P44" s="721"/>
      <c r="Q44" s="722"/>
      <c r="R44" s="722"/>
      <c r="S44" s="722"/>
      <c r="T44" s="723"/>
      <c r="U44" s="735"/>
      <c r="V44" s="721"/>
      <c r="W44" s="722"/>
      <c r="X44" s="722"/>
      <c r="Y44" s="722"/>
      <c r="Z44" s="722"/>
      <c r="AA44" s="723"/>
    </row>
    <row r="45" spans="1:27" ht="15.75" customHeight="1">
      <c r="A45" s="721"/>
      <c r="B45" s="723"/>
      <c r="C45" s="721"/>
      <c r="D45" s="722"/>
      <c r="E45" s="722"/>
      <c r="F45" s="722"/>
      <c r="G45" s="722"/>
      <c r="H45" s="722"/>
      <c r="I45" s="722"/>
      <c r="J45" s="722"/>
      <c r="K45" s="722"/>
      <c r="L45" s="722"/>
      <c r="M45" s="722"/>
      <c r="N45" s="723"/>
      <c r="O45" s="735"/>
      <c r="P45" s="721"/>
      <c r="Q45" s="722"/>
      <c r="R45" s="722"/>
      <c r="S45" s="722"/>
      <c r="T45" s="723"/>
      <c r="U45" s="735"/>
      <c r="V45" s="721"/>
      <c r="W45" s="722"/>
      <c r="X45" s="722"/>
      <c r="Y45" s="722"/>
      <c r="Z45" s="722"/>
      <c r="AA45" s="723"/>
    </row>
    <row r="46" spans="1:27" ht="15.75" customHeight="1">
      <c r="A46" s="721"/>
      <c r="B46" s="723"/>
      <c r="C46" s="721"/>
      <c r="D46" s="722"/>
      <c r="E46" s="722"/>
      <c r="F46" s="722"/>
      <c r="G46" s="722"/>
      <c r="H46" s="722"/>
      <c r="I46" s="722"/>
      <c r="J46" s="722"/>
      <c r="K46" s="722"/>
      <c r="L46" s="722"/>
      <c r="M46" s="722"/>
      <c r="N46" s="723"/>
      <c r="O46" s="735"/>
      <c r="P46" s="721"/>
      <c r="Q46" s="722"/>
      <c r="R46" s="722"/>
      <c r="S46" s="722"/>
      <c r="T46" s="723"/>
      <c r="U46" s="735"/>
      <c r="V46" s="721"/>
      <c r="W46" s="722"/>
      <c r="X46" s="722"/>
      <c r="Y46" s="722"/>
      <c r="Z46" s="722"/>
      <c r="AA46" s="723"/>
    </row>
    <row r="47" spans="1:27" ht="15.75" customHeight="1">
      <c r="A47" s="724"/>
      <c r="B47" s="726"/>
      <c r="C47" s="724"/>
      <c r="D47" s="725"/>
      <c r="E47" s="725"/>
      <c r="F47" s="725"/>
      <c r="G47" s="725"/>
      <c r="H47" s="725"/>
      <c r="I47" s="725"/>
      <c r="J47" s="725"/>
      <c r="K47" s="725"/>
      <c r="L47" s="725"/>
      <c r="M47" s="725"/>
      <c r="N47" s="726"/>
      <c r="O47" s="736"/>
      <c r="P47" s="724"/>
      <c r="Q47" s="725"/>
      <c r="R47" s="725"/>
      <c r="S47" s="725"/>
      <c r="T47" s="726"/>
      <c r="U47" s="736"/>
      <c r="V47" s="724"/>
      <c r="W47" s="725"/>
      <c r="X47" s="725"/>
      <c r="Y47" s="725"/>
      <c r="Z47" s="725"/>
      <c r="AA47" s="726"/>
    </row>
    <row r="48" spans="1:27" ht="15.75" customHeight="1">
      <c r="B48" s="290" t="s">
        <v>484</v>
      </c>
      <c r="D48" s="708" t="s">
        <v>3215</v>
      </c>
      <c r="E48" s="708"/>
      <c r="F48" s="708"/>
      <c r="G48" s="708"/>
      <c r="H48" s="708"/>
      <c r="I48" s="708"/>
      <c r="J48" s="708"/>
      <c r="K48" s="708"/>
      <c r="L48" s="708"/>
      <c r="M48" s="708"/>
      <c r="N48" s="708"/>
      <c r="O48" s="708"/>
      <c r="P48" s="708"/>
      <c r="Q48" s="708"/>
      <c r="R48" s="708"/>
      <c r="S48" s="708"/>
      <c r="T48" s="708"/>
      <c r="U48" s="708"/>
      <c r="V48" s="708"/>
      <c r="W48" s="708"/>
      <c r="X48" s="708"/>
      <c r="Y48" s="708"/>
      <c r="Z48" s="708"/>
      <c r="AA48" s="708"/>
    </row>
    <row r="49" spans="4:27" ht="15.75" customHeight="1">
      <c r="D49" s="709" t="s">
        <v>3214</v>
      </c>
      <c r="E49" s="709"/>
      <c r="F49" s="709"/>
      <c r="G49" s="709"/>
      <c r="H49" s="709"/>
      <c r="I49" s="709"/>
      <c r="J49" s="709"/>
      <c r="K49" s="709"/>
      <c r="L49" s="709"/>
      <c r="M49" s="709"/>
      <c r="N49" s="709"/>
      <c r="O49" s="709"/>
      <c r="P49" s="709"/>
      <c r="Q49" s="709"/>
      <c r="R49" s="709"/>
      <c r="S49" s="709"/>
      <c r="T49" s="709"/>
      <c r="U49" s="709"/>
      <c r="V49" s="709"/>
      <c r="W49" s="709"/>
      <c r="X49" s="709"/>
      <c r="Y49" s="709"/>
      <c r="Z49" s="709"/>
      <c r="AA49" s="709"/>
    </row>
    <row r="50" spans="4:27" ht="15.75" customHeight="1">
      <c r="D50" s="290" t="s">
        <v>3216</v>
      </c>
    </row>
    <row r="51" spans="4:27" ht="15.75" customHeight="1"/>
  </sheetData>
  <mergeCells count="53">
    <mergeCell ref="I19:I20"/>
    <mergeCell ref="J19:O20"/>
    <mergeCell ref="C17:H20"/>
    <mergeCell ref="B2:AA2"/>
    <mergeCell ref="A13:H13"/>
    <mergeCell ref="R13:AA13"/>
    <mergeCell ref="O7:P7"/>
    <mergeCell ref="O9:P9"/>
    <mergeCell ref="J13:K13"/>
    <mergeCell ref="Z3:Z4"/>
    <mergeCell ref="V3:V4"/>
    <mergeCell ref="W3:W4"/>
    <mergeCell ref="Y3:Y4"/>
    <mergeCell ref="X3:X4"/>
    <mergeCell ref="T3:U4"/>
    <mergeCell ref="Q7:Z8"/>
    <mergeCell ref="I37:O39"/>
    <mergeCell ref="P37:AA39"/>
    <mergeCell ref="V43:AA47"/>
    <mergeCell ref="I25:I28"/>
    <mergeCell ref="A43:B47"/>
    <mergeCell ref="U43:U47"/>
    <mergeCell ref="A17:B39"/>
    <mergeCell ref="P17:AA18"/>
    <mergeCell ref="P19:AA20"/>
    <mergeCell ref="I29:O32"/>
    <mergeCell ref="C29:H32"/>
    <mergeCell ref="C33:H36"/>
    <mergeCell ref="I33:O36"/>
    <mergeCell ref="C21:H28"/>
    <mergeCell ref="I17:I18"/>
    <mergeCell ref="J17:O18"/>
    <mergeCell ref="Q9:Z10"/>
    <mergeCell ref="B11:Z11"/>
    <mergeCell ref="B12:Z12"/>
    <mergeCell ref="A14:H14"/>
    <mergeCell ref="I14:AA14"/>
    <mergeCell ref="D48:AA48"/>
    <mergeCell ref="D49:AA49"/>
    <mergeCell ref="A15:H15"/>
    <mergeCell ref="I15:AA15"/>
    <mergeCell ref="A16:H16"/>
    <mergeCell ref="I16:Q16"/>
    <mergeCell ref="R16:AA16"/>
    <mergeCell ref="P43:T47"/>
    <mergeCell ref="I21:I24"/>
    <mergeCell ref="J21:O24"/>
    <mergeCell ref="J25:O28"/>
    <mergeCell ref="C43:N47"/>
    <mergeCell ref="O43:O47"/>
    <mergeCell ref="C37:H39"/>
    <mergeCell ref="A40:H42"/>
    <mergeCell ref="I40:AA42"/>
  </mergeCells>
  <phoneticPr fontId="57"/>
  <printOptions horizontalCentered="1"/>
  <pageMargins left="0.39370078740157483" right="0.39370078740157483" top="0.62992125984251968" bottom="0.55118110236220474"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zoomScale="75" zoomScaleNormal="75" workbookViewId="0"/>
  </sheetViews>
  <sheetFormatPr defaultColWidth="4.375" defaultRowHeight="11.25"/>
  <cols>
    <col min="1" max="1" width="4.375" style="293" customWidth="1"/>
    <col min="2" max="16384" width="4.375" style="293"/>
  </cols>
  <sheetData>
    <row r="1" spans="1:34">
      <c r="A1" s="795" t="s">
        <v>3031</v>
      </c>
      <c r="B1" s="795"/>
      <c r="C1" s="795"/>
      <c r="D1" s="795"/>
    </row>
    <row r="2" spans="1:34" ht="8.25" customHeight="1">
      <c r="A2" s="331"/>
      <c r="B2" s="331"/>
      <c r="C2" s="331"/>
      <c r="D2" s="331"/>
    </row>
    <row r="3" spans="1:34" ht="11.25" customHeight="1">
      <c r="A3" s="796" t="s">
        <v>3030</v>
      </c>
      <c r="B3" s="796"/>
      <c r="C3" s="796"/>
      <c r="D3" s="796"/>
      <c r="E3" s="796"/>
      <c r="F3" s="796"/>
      <c r="G3" s="796"/>
      <c r="H3" s="796"/>
      <c r="I3" s="796"/>
      <c r="J3" s="796"/>
      <c r="K3" s="796"/>
      <c r="L3" s="796"/>
      <c r="M3" s="796"/>
      <c r="N3" s="796"/>
      <c r="O3" s="796"/>
      <c r="P3" s="796"/>
      <c r="Q3" s="796"/>
      <c r="R3" s="796"/>
      <c r="S3" s="796"/>
      <c r="T3" s="796"/>
      <c r="U3" s="796"/>
      <c r="V3" s="796"/>
    </row>
    <row r="4" spans="1:34" ht="11.25" customHeight="1">
      <c r="A4" s="796"/>
      <c r="B4" s="796"/>
      <c r="C4" s="796"/>
      <c r="D4" s="796"/>
      <c r="E4" s="796"/>
      <c r="F4" s="796"/>
      <c r="G4" s="796"/>
      <c r="H4" s="796"/>
      <c r="I4" s="796"/>
      <c r="J4" s="796"/>
      <c r="K4" s="796"/>
      <c r="L4" s="796"/>
      <c r="M4" s="796"/>
      <c r="N4" s="796"/>
      <c r="O4" s="796"/>
      <c r="P4" s="796"/>
      <c r="Q4" s="796"/>
      <c r="R4" s="796"/>
      <c r="S4" s="796"/>
      <c r="T4" s="796"/>
      <c r="U4" s="796"/>
      <c r="V4" s="796"/>
      <c r="AH4" s="485"/>
    </row>
    <row r="5" spans="1:34" ht="11.25" customHeight="1">
      <c r="A5" s="796"/>
      <c r="B5" s="796"/>
      <c r="C5" s="796"/>
      <c r="D5" s="796"/>
      <c r="E5" s="796"/>
      <c r="F5" s="796"/>
      <c r="G5" s="796"/>
      <c r="H5" s="796"/>
      <c r="I5" s="796"/>
      <c r="J5" s="796"/>
      <c r="K5" s="796"/>
      <c r="L5" s="796"/>
      <c r="M5" s="796"/>
      <c r="N5" s="796"/>
      <c r="O5" s="796"/>
      <c r="P5" s="796"/>
      <c r="Q5" s="796"/>
      <c r="R5" s="796"/>
      <c r="S5" s="796"/>
      <c r="T5" s="796"/>
      <c r="U5" s="796"/>
      <c r="V5" s="796"/>
      <c r="AH5" s="485"/>
    </row>
    <row r="6" spans="1:34" ht="11.25" customHeight="1">
      <c r="A6" s="332"/>
      <c r="B6" s="332"/>
      <c r="C6" s="332"/>
      <c r="D6" s="332"/>
      <c r="E6" s="332"/>
      <c r="F6" s="332"/>
      <c r="G6" s="332"/>
      <c r="H6" s="332"/>
      <c r="I6" s="332"/>
      <c r="J6" s="332"/>
      <c r="K6" s="332"/>
      <c r="L6" s="332"/>
      <c r="AH6" s="485"/>
    </row>
    <row r="7" spans="1:34" ht="12.75" customHeight="1">
      <c r="P7" s="448"/>
      <c r="Q7" s="448"/>
      <c r="R7" s="448"/>
      <c r="S7" s="448"/>
      <c r="T7" s="448"/>
      <c r="U7" s="448"/>
      <c r="AH7" s="485"/>
    </row>
    <row r="8" spans="1:34" ht="11.25" customHeight="1">
      <c r="P8" s="798"/>
      <c r="Q8" s="798"/>
      <c r="R8" s="448" t="s">
        <v>464</v>
      </c>
      <c r="S8" s="449"/>
      <c r="T8" s="448" t="s">
        <v>1</v>
      </c>
      <c r="U8" s="449"/>
      <c r="V8" s="448" t="s">
        <v>465</v>
      </c>
      <c r="AH8" s="485"/>
    </row>
    <row r="9" spans="1:34" ht="9" customHeight="1">
      <c r="K9" s="294"/>
      <c r="L9" s="294"/>
      <c r="AH9" s="485"/>
    </row>
    <row r="10" spans="1:34" ht="12.75" customHeight="1">
      <c r="A10" s="797" t="str">
        <f ca="1">cst_Pre_Corp__SHINSEI</f>
        <v>一般財団法人静岡県建築住宅まちづくりセンター</v>
      </c>
      <c r="B10" s="797"/>
      <c r="C10" s="797"/>
      <c r="D10" s="797"/>
      <c r="E10" s="797"/>
      <c r="F10" s="797"/>
      <c r="G10" s="797"/>
      <c r="H10" s="797"/>
      <c r="I10" s="797"/>
      <c r="J10" s="797"/>
      <c r="AH10" s="485"/>
    </row>
    <row r="11" spans="1:34" ht="7.5" customHeight="1">
      <c r="A11" s="333"/>
      <c r="B11" s="333"/>
      <c r="C11" s="333"/>
      <c r="D11" s="333"/>
      <c r="E11" s="333"/>
      <c r="F11" s="333"/>
      <c r="AH11" s="485"/>
    </row>
    <row r="12" spans="1:34" ht="12.75" customHeight="1">
      <c r="A12" s="295"/>
      <c r="B12" s="385" t="str">
        <f ca="1">cst_Pre_Daihyou__SHINSEI</f>
        <v>理事長 　柳　敏幸</v>
      </c>
      <c r="C12" s="296"/>
      <c r="D12" s="296"/>
      <c r="E12" s="296"/>
      <c r="G12" s="296" t="s">
        <v>2796</v>
      </c>
      <c r="Y12" s="485"/>
      <c r="Z12" s="485"/>
      <c r="AA12" s="485"/>
      <c r="AB12" s="485"/>
      <c r="AC12" s="485"/>
      <c r="AD12" s="485"/>
      <c r="AE12" s="485"/>
      <c r="AF12" s="485"/>
      <c r="AG12" s="485"/>
      <c r="AH12" s="485"/>
    </row>
    <row r="15" spans="1:34" ht="22.5" customHeight="1">
      <c r="F15" s="295"/>
      <c r="K15" s="297" t="s">
        <v>2831</v>
      </c>
      <c r="M15" s="785" t="str">
        <f>cst_wskakunin_owner1__address</f>
        <v>静岡県静岡市葵区新伝馬二丁目8-41-101</v>
      </c>
      <c r="N15" s="785"/>
      <c r="O15" s="785"/>
      <c r="P15" s="785"/>
      <c r="Q15" s="785"/>
      <c r="R15" s="785"/>
      <c r="S15" s="785"/>
      <c r="T15" s="785"/>
      <c r="U15" s="785"/>
      <c r="V15" s="785"/>
    </row>
    <row r="16" spans="1:34" ht="22.5" customHeight="1">
      <c r="J16" s="443" t="s">
        <v>2832</v>
      </c>
      <c r="K16" s="297"/>
      <c r="M16" s="785"/>
      <c r="N16" s="785"/>
      <c r="O16" s="785"/>
      <c r="P16" s="785"/>
      <c r="Q16" s="785"/>
      <c r="R16" s="785"/>
      <c r="S16" s="785"/>
      <c r="T16" s="785"/>
      <c r="U16" s="785"/>
      <c r="V16" s="785"/>
      <c r="AA16" s="406"/>
    </row>
    <row r="17" spans="1:32" ht="22.5" customHeight="1">
      <c r="F17" s="295"/>
      <c r="K17" s="297" t="s">
        <v>3040</v>
      </c>
      <c r="M17" s="785" t="str">
        <f>cst_wskakunin_owner1__space3</f>
        <v>菅野　幸子</v>
      </c>
      <c r="N17" s="785"/>
      <c r="O17" s="785"/>
      <c r="P17" s="785"/>
      <c r="Q17" s="785"/>
      <c r="R17" s="785"/>
      <c r="S17" s="785"/>
      <c r="T17" s="785"/>
      <c r="U17" s="785"/>
      <c r="V17" s="785"/>
    </row>
    <row r="18" spans="1:32" ht="24" customHeight="1">
      <c r="G18" s="295"/>
      <c r="M18" s="785"/>
      <c r="N18" s="785"/>
      <c r="O18" s="785"/>
      <c r="P18" s="785"/>
      <c r="Q18" s="785"/>
      <c r="R18" s="785"/>
      <c r="S18" s="785"/>
      <c r="T18" s="785"/>
      <c r="U18" s="785"/>
      <c r="V18" s="785"/>
      <c r="AB18" s="447"/>
      <c r="AE18" s="778"/>
      <c r="AF18" s="778"/>
    </row>
    <row r="19" spans="1:32" ht="8.25" customHeight="1"/>
    <row r="20" spans="1:32" ht="20.25" customHeight="1">
      <c r="A20" s="794" t="str">
        <f ca="1">"下記について直前の（ "&amp;IF(cst_wsjob_JOB_KIND="中間検査",IF(cst_wskakunin_koutei_izen01_umu="有","中間検査","確認"),IF(cst_wsjob_JOB_KIND="完了検査",IF(cst_wskakunin_koutei01_umu="有","中間検査","確認"),""))&amp;" ）を受けた日以降に建築基準法施行規則第３条の２に該当する軽微な変更がありましたので説明書を提出します。"</f>
        <v>下記について直前の（ 確認 ）を受けた日以降に建築基準法施行規則第３条の２に該当する軽微な変更がありましたので説明書を提出します。</v>
      </c>
      <c r="B20" s="794"/>
      <c r="C20" s="794"/>
      <c r="D20" s="794"/>
      <c r="E20" s="794"/>
      <c r="F20" s="794"/>
      <c r="G20" s="794"/>
      <c r="H20" s="794"/>
      <c r="I20" s="794"/>
      <c r="J20" s="794"/>
      <c r="K20" s="794"/>
      <c r="L20" s="794"/>
      <c r="M20" s="794"/>
      <c r="N20" s="794"/>
      <c r="O20" s="794"/>
      <c r="P20" s="794"/>
      <c r="Q20" s="794"/>
      <c r="R20" s="794"/>
      <c r="S20" s="794"/>
      <c r="T20" s="794"/>
      <c r="U20" s="794"/>
      <c r="V20" s="794"/>
    </row>
    <row r="21" spans="1:32" ht="12.75" customHeight="1">
      <c r="A21" s="794"/>
      <c r="B21" s="794"/>
      <c r="C21" s="794"/>
      <c r="D21" s="794"/>
      <c r="E21" s="794"/>
      <c r="F21" s="794"/>
      <c r="G21" s="794"/>
      <c r="H21" s="794"/>
      <c r="I21" s="794"/>
      <c r="J21" s="794"/>
      <c r="K21" s="794"/>
      <c r="L21" s="794"/>
      <c r="M21" s="794"/>
      <c r="N21" s="794"/>
      <c r="O21" s="794"/>
      <c r="P21" s="794"/>
      <c r="Q21" s="794"/>
      <c r="R21" s="794"/>
      <c r="S21" s="794"/>
      <c r="T21" s="794"/>
      <c r="U21" s="794"/>
      <c r="V21" s="794"/>
    </row>
    <row r="22" spans="1:32" ht="4.5" customHeight="1"/>
    <row r="23" spans="1:32" ht="11.25" customHeight="1">
      <c r="A23" s="393" t="s">
        <v>3029</v>
      </c>
      <c r="B23" s="394"/>
      <c r="C23" s="445"/>
      <c r="D23" s="445"/>
      <c r="E23" s="395"/>
      <c r="F23" s="786" t="str">
        <f>cst_wskakunin_owner1__space</f>
        <v>菅野　幸子</v>
      </c>
      <c r="G23" s="787"/>
      <c r="H23" s="787"/>
      <c r="I23" s="787"/>
      <c r="J23" s="787"/>
      <c r="K23" s="787"/>
      <c r="L23" s="787"/>
      <c r="M23" s="787"/>
      <c r="N23" s="787"/>
      <c r="O23" s="787"/>
      <c r="P23" s="787"/>
      <c r="Q23" s="787"/>
      <c r="R23" s="787"/>
      <c r="S23" s="787"/>
      <c r="T23" s="787"/>
      <c r="U23" s="787"/>
      <c r="V23" s="788"/>
    </row>
    <row r="24" spans="1:32" ht="11.25" customHeight="1">
      <c r="A24" s="398"/>
      <c r="B24" s="444"/>
      <c r="E24" s="397"/>
      <c r="F24" s="789"/>
      <c r="G24" s="785"/>
      <c r="H24" s="785"/>
      <c r="I24" s="785"/>
      <c r="J24" s="785"/>
      <c r="K24" s="785"/>
      <c r="L24" s="785"/>
      <c r="M24" s="785"/>
      <c r="N24" s="785"/>
      <c r="O24" s="785"/>
      <c r="P24" s="785"/>
      <c r="Q24" s="785"/>
      <c r="R24" s="785"/>
      <c r="S24" s="785"/>
      <c r="T24" s="785"/>
      <c r="U24" s="785"/>
      <c r="V24" s="790"/>
    </row>
    <row r="25" spans="1:32" ht="13.5" customHeight="1">
      <c r="A25" s="396" t="s">
        <v>3028</v>
      </c>
      <c r="B25" s="297"/>
      <c r="E25" s="389"/>
      <c r="F25" s="789" t="str">
        <f>cst_wskakunin_BUILD__address</f>
        <v>静岡県静岡市葵区平和二丁目215-8</v>
      </c>
      <c r="G25" s="785"/>
      <c r="H25" s="785"/>
      <c r="I25" s="785"/>
      <c r="J25" s="785"/>
      <c r="K25" s="785"/>
      <c r="L25" s="785"/>
      <c r="M25" s="785"/>
      <c r="N25" s="785"/>
      <c r="O25" s="785"/>
      <c r="P25" s="785"/>
      <c r="Q25" s="785"/>
      <c r="R25" s="785"/>
      <c r="S25" s="785"/>
      <c r="T25" s="785"/>
      <c r="U25" s="785"/>
      <c r="V25" s="790"/>
    </row>
    <row r="26" spans="1:32" ht="12.75">
      <c r="A26" s="388"/>
      <c r="B26" s="387"/>
      <c r="C26" s="446"/>
      <c r="D26" s="446"/>
      <c r="E26" s="386"/>
      <c r="F26" s="791"/>
      <c r="G26" s="792"/>
      <c r="H26" s="792"/>
      <c r="I26" s="792"/>
      <c r="J26" s="792"/>
      <c r="K26" s="792"/>
      <c r="L26" s="792"/>
      <c r="M26" s="792"/>
      <c r="N26" s="792"/>
      <c r="O26" s="792"/>
      <c r="P26" s="792"/>
      <c r="Q26" s="792"/>
      <c r="R26" s="792"/>
      <c r="S26" s="792"/>
      <c r="T26" s="792"/>
      <c r="U26" s="792"/>
      <c r="V26" s="793"/>
    </row>
    <row r="27" spans="1:32" ht="11.25" customHeight="1">
      <c r="A27" s="393" t="s">
        <v>3027</v>
      </c>
      <c r="B27" s="394"/>
      <c r="C27" s="445"/>
      <c r="D27" s="445"/>
      <c r="E27" s="395"/>
      <c r="F27" s="452"/>
      <c r="G27" s="453"/>
      <c r="H27" s="453"/>
      <c r="I27" s="453"/>
      <c r="J27" s="806">
        <f ca="1">cst_ISSUE_DATE_select</f>
        <v>44958</v>
      </c>
      <c r="K27" s="806"/>
      <c r="L27" s="779" t="s">
        <v>464</v>
      </c>
      <c r="M27" s="783">
        <f ca="1">cst_ISSUE_DATE_select</f>
        <v>44958</v>
      </c>
      <c r="N27" s="779" t="s">
        <v>1</v>
      </c>
      <c r="O27" s="781">
        <f ca="1">cst_ISSUE_DATE_select</f>
        <v>44958</v>
      </c>
      <c r="P27" s="779" t="s">
        <v>465</v>
      </c>
      <c r="Q27" s="453"/>
      <c r="R27" s="453"/>
      <c r="S27" s="453"/>
      <c r="T27" s="453"/>
      <c r="U27" s="453"/>
      <c r="V27" s="454"/>
    </row>
    <row r="28" spans="1:32" ht="12.75">
      <c r="A28" s="388"/>
      <c r="B28" s="387"/>
      <c r="C28" s="446"/>
      <c r="D28" s="446"/>
      <c r="E28" s="386"/>
      <c r="F28" s="455"/>
      <c r="G28" s="456"/>
      <c r="H28" s="456"/>
      <c r="I28" s="456"/>
      <c r="J28" s="807"/>
      <c r="K28" s="807"/>
      <c r="L28" s="780"/>
      <c r="M28" s="784"/>
      <c r="N28" s="780"/>
      <c r="O28" s="782"/>
      <c r="P28" s="780"/>
      <c r="Q28" s="456"/>
      <c r="R28" s="456"/>
      <c r="S28" s="456"/>
      <c r="T28" s="456"/>
      <c r="U28" s="456"/>
      <c r="V28" s="457"/>
    </row>
    <row r="29" spans="1:32" ht="11.25" customHeight="1">
      <c r="A29" s="393" t="s">
        <v>3026</v>
      </c>
      <c r="B29" s="394"/>
      <c r="C29" s="445"/>
      <c r="D29" s="445"/>
      <c r="E29" s="395"/>
      <c r="F29" s="800" t="str">
        <f ca="1">cst_wsjob_TARGET_KIND</f>
        <v>建築物</v>
      </c>
      <c r="G29" s="801"/>
      <c r="H29" s="801"/>
      <c r="I29" s="801"/>
      <c r="J29" s="801"/>
      <c r="K29" s="801"/>
      <c r="L29" s="801"/>
      <c r="M29" s="802"/>
      <c r="N29" s="800" t="str">
        <f ca="1">IF(cst_ISSUE_NO_select="","第　　　　　　　号",IF(COUNTIF(cst_ISSUE_NO_select,"*第*")&gt;0,"","第")&amp;cst_ISSUE_NO_select&amp;IF(COUNTIF(cst_ISSUE_NO_select,"*号*")&gt;0,"","号"))</f>
        <v>第 2022確認建築静建住ま10505 号</v>
      </c>
      <c r="O29" s="801"/>
      <c r="P29" s="801"/>
      <c r="Q29" s="801"/>
      <c r="R29" s="801"/>
      <c r="S29" s="801"/>
      <c r="T29" s="801"/>
      <c r="U29" s="801"/>
      <c r="V29" s="802"/>
    </row>
    <row r="30" spans="1:32" ht="12.75">
      <c r="A30" s="388"/>
      <c r="B30" s="387"/>
      <c r="C30" s="446"/>
      <c r="D30" s="446"/>
      <c r="E30" s="386"/>
      <c r="F30" s="803"/>
      <c r="G30" s="804"/>
      <c r="H30" s="804"/>
      <c r="I30" s="804"/>
      <c r="J30" s="804"/>
      <c r="K30" s="804"/>
      <c r="L30" s="804"/>
      <c r="M30" s="805"/>
      <c r="N30" s="803"/>
      <c r="O30" s="804"/>
      <c r="P30" s="804"/>
      <c r="Q30" s="804"/>
      <c r="R30" s="804"/>
      <c r="S30" s="804"/>
      <c r="T30" s="804"/>
      <c r="U30" s="804"/>
      <c r="V30" s="805"/>
    </row>
    <row r="31" spans="1:32" ht="12.75">
      <c r="A31" s="393" t="s">
        <v>3025</v>
      </c>
      <c r="B31" s="392"/>
      <c r="C31" s="445"/>
      <c r="D31" s="445"/>
      <c r="E31" s="391"/>
      <c r="F31" s="799"/>
      <c r="G31" s="799"/>
      <c r="H31" s="799"/>
      <c r="I31" s="799"/>
      <c r="J31" s="799"/>
      <c r="K31" s="799"/>
      <c r="L31" s="799"/>
      <c r="M31" s="799"/>
      <c r="N31" s="799"/>
      <c r="O31" s="799"/>
      <c r="P31" s="799"/>
      <c r="Q31" s="799"/>
      <c r="R31" s="799"/>
      <c r="S31" s="799"/>
      <c r="T31" s="799"/>
      <c r="U31" s="799"/>
      <c r="V31" s="799"/>
    </row>
    <row r="32" spans="1:32" ht="12.75">
      <c r="A32" s="390"/>
      <c r="B32" s="297"/>
      <c r="E32" s="389"/>
      <c r="F32" s="799"/>
      <c r="G32" s="799"/>
      <c r="H32" s="799"/>
      <c r="I32" s="799"/>
      <c r="J32" s="799"/>
      <c r="K32" s="799"/>
      <c r="L32" s="799"/>
      <c r="M32" s="799"/>
      <c r="N32" s="799"/>
      <c r="O32" s="799"/>
      <c r="P32" s="799"/>
      <c r="Q32" s="799"/>
      <c r="R32" s="799"/>
      <c r="S32" s="799"/>
      <c r="T32" s="799"/>
      <c r="U32" s="799"/>
      <c r="V32" s="799"/>
    </row>
    <row r="33" spans="1:22" ht="12.75">
      <c r="A33" s="390"/>
      <c r="B33" s="297"/>
      <c r="E33" s="389"/>
      <c r="F33" s="799"/>
      <c r="G33" s="799"/>
      <c r="H33" s="799"/>
      <c r="I33" s="799"/>
      <c r="J33" s="799"/>
      <c r="K33" s="799"/>
      <c r="L33" s="799"/>
      <c r="M33" s="799"/>
      <c r="N33" s="799"/>
      <c r="O33" s="799"/>
      <c r="P33" s="799"/>
      <c r="Q33" s="799"/>
      <c r="R33" s="799"/>
      <c r="S33" s="799"/>
      <c r="T33" s="799"/>
      <c r="U33" s="799"/>
      <c r="V33" s="799"/>
    </row>
    <row r="34" spans="1:22" ht="12.75">
      <c r="A34" s="390"/>
      <c r="B34" s="297"/>
      <c r="E34" s="389"/>
      <c r="F34" s="799"/>
      <c r="G34" s="799"/>
      <c r="H34" s="799"/>
      <c r="I34" s="799"/>
      <c r="J34" s="799"/>
      <c r="K34" s="799"/>
      <c r="L34" s="799"/>
      <c r="M34" s="799"/>
      <c r="N34" s="799"/>
      <c r="O34" s="799"/>
      <c r="P34" s="799"/>
      <c r="Q34" s="799"/>
      <c r="R34" s="799"/>
      <c r="S34" s="799"/>
      <c r="T34" s="799"/>
      <c r="U34" s="799"/>
      <c r="V34" s="799"/>
    </row>
    <row r="35" spans="1:22" ht="12.75">
      <c r="A35" s="390"/>
      <c r="B35" s="297"/>
      <c r="E35" s="389"/>
      <c r="F35" s="799"/>
      <c r="G35" s="799"/>
      <c r="H35" s="799"/>
      <c r="I35" s="799"/>
      <c r="J35" s="799"/>
      <c r="K35" s="799"/>
      <c r="L35" s="799"/>
      <c r="M35" s="799"/>
      <c r="N35" s="799"/>
      <c r="O35" s="799"/>
      <c r="P35" s="799"/>
      <c r="Q35" s="799"/>
      <c r="R35" s="799"/>
      <c r="S35" s="799"/>
      <c r="T35" s="799"/>
      <c r="U35" s="799"/>
      <c r="V35" s="799"/>
    </row>
    <row r="36" spans="1:22" ht="12.75">
      <c r="A36" s="390"/>
      <c r="B36" s="297"/>
      <c r="E36" s="389"/>
      <c r="F36" s="799"/>
      <c r="G36" s="799"/>
      <c r="H36" s="799"/>
      <c r="I36" s="799"/>
      <c r="J36" s="799"/>
      <c r="K36" s="799"/>
      <c r="L36" s="799"/>
      <c r="M36" s="799"/>
      <c r="N36" s="799"/>
      <c r="O36" s="799"/>
      <c r="P36" s="799"/>
      <c r="Q36" s="799"/>
      <c r="R36" s="799"/>
      <c r="S36" s="799"/>
      <c r="T36" s="799"/>
      <c r="U36" s="799"/>
      <c r="V36" s="799"/>
    </row>
    <row r="37" spans="1:22" ht="12.75">
      <c r="A37" s="390"/>
      <c r="B37" s="297"/>
      <c r="E37" s="389"/>
      <c r="F37" s="799"/>
      <c r="G37" s="799"/>
      <c r="H37" s="799"/>
      <c r="I37" s="799"/>
      <c r="J37" s="799"/>
      <c r="K37" s="799"/>
      <c r="L37" s="799"/>
      <c r="M37" s="799"/>
      <c r="N37" s="799"/>
      <c r="O37" s="799"/>
      <c r="P37" s="799"/>
      <c r="Q37" s="799"/>
      <c r="R37" s="799"/>
      <c r="S37" s="799"/>
      <c r="T37" s="799"/>
      <c r="U37" s="799"/>
      <c r="V37" s="799"/>
    </row>
    <row r="38" spans="1:22" ht="12.75">
      <c r="A38" s="390"/>
      <c r="B38" s="297"/>
      <c r="E38" s="389"/>
      <c r="F38" s="799"/>
      <c r="G38" s="799"/>
      <c r="H38" s="799"/>
      <c r="I38" s="799"/>
      <c r="J38" s="799"/>
      <c r="K38" s="799"/>
      <c r="L38" s="799"/>
      <c r="M38" s="799"/>
      <c r="N38" s="799"/>
      <c r="O38" s="799"/>
      <c r="P38" s="799"/>
      <c r="Q38" s="799"/>
      <c r="R38" s="799"/>
      <c r="S38" s="799"/>
      <c r="T38" s="799"/>
      <c r="U38" s="799"/>
      <c r="V38" s="799"/>
    </row>
    <row r="39" spans="1:22" ht="12.75">
      <c r="A39" s="390"/>
      <c r="B39" s="297"/>
      <c r="E39" s="389"/>
      <c r="F39" s="799"/>
      <c r="G39" s="799"/>
      <c r="H39" s="799"/>
      <c r="I39" s="799"/>
      <c r="J39" s="799"/>
      <c r="K39" s="799"/>
      <c r="L39" s="799"/>
      <c r="M39" s="799"/>
      <c r="N39" s="799"/>
      <c r="O39" s="799"/>
      <c r="P39" s="799"/>
      <c r="Q39" s="799"/>
      <c r="R39" s="799"/>
      <c r="S39" s="799"/>
      <c r="T39" s="799"/>
      <c r="U39" s="799"/>
      <c r="V39" s="799"/>
    </row>
    <row r="40" spans="1:22" ht="12.75">
      <c r="A40" s="390"/>
      <c r="B40" s="297"/>
      <c r="E40" s="389"/>
      <c r="F40" s="799"/>
      <c r="G40" s="799"/>
      <c r="H40" s="799"/>
      <c r="I40" s="799"/>
      <c r="J40" s="799"/>
      <c r="K40" s="799"/>
      <c r="L40" s="799"/>
      <c r="M40" s="799"/>
      <c r="N40" s="799"/>
      <c r="O40" s="799"/>
      <c r="P40" s="799"/>
      <c r="Q40" s="799"/>
      <c r="R40" s="799"/>
      <c r="S40" s="799"/>
      <c r="T40" s="799"/>
      <c r="U40" s="799"/>
      <c r="V40" s="799"/>
    </row>
    <row r="41" spans="1:22" ht="12.75">
      <c r="A41" s="390"/>
      <c r="B41" s="297"/>
      <c r="E41" s="389"/>
      <c r="F41" s="799"/>
      <c r="G41" s="799"/>
      <c r="H41" s="799"/>
      <c r="I41" s="799"/>
      <c r="J41" s="799"/>
      <c r="K41" s="799"/>
      <c r="L41" s="799"/>
      <c r="M41" s="799"/>
      <c r="N41" s="799"/>
      <c r="O41" s="799"/>
      <c r="P41" s="799"/>
      <c r="Q41" s="799"/>
      <c r="R41" s="799"/>
      <c r="S41" s="799"/>
      <c r="T41" s="799"/>
      <c r="U41" s="799"/>
      <c r="V41" s="799"/>
    </row>
    <row r="42" spans="1:22" ht="12.75">
      <c r="A42" s="390"/>
      <c r="B42" s="297"/>
      <c r="E42" s="389"/>
      <c r="F42" s="799"/>
      <c r="G42" s="799"/>
      <c r="H42" s="799"/>
      <c r="I42" s="799"/>
      <c r="J42" s="799"/>
      <c r="K42" s="799"/>
      <c r="L42" s="799"/>
      <c r="M42" s="799"/>
      <c r="N42" s="799"/>
      <c r="O42" s="799"/>
      <c r="P42" s="799"/>
      <c r="Q42" s="799"/>
      <c r="R42" s="799"/>
      <c r="S42" s="799"/>
      <c r="T42" s="799"/>
      <c r="U42" s="799"/>
      <c r="V42" s="799"/>
    </row>
    <row r="43" spans="1:22" ht="12.75">
      <c r="A43" s="390"/>
      <c r="B43" s="297"/>
      <c r="E43" s="389"/>
      <c r="F43" s="799"/>
      <c r="G43" s="799"/>
      <c r="H43" s="799"/>
      <c r="I43" s="799"/>
      <c r="J43" s="799"/>
      <c r="K43" s="799"/>
      <c r="L43" s="799"/>
      <c r="M43" s="799"/>
      <c r="N43" s="799"/>
      <c r="O43" s="799"/>
      <c r="P43" s="799"/>
      <c r="Q43" s="799"/>
      <c r="R43" s="799"/>
      <c r="S43" s="799"/>
      <c r="T43" s="799"/>
      <c r="U43" s="799"/>
      <c r="V43" s="799"/>
    </row>
    <row r="44" spans="1:22" ht="12.75">
      <c r="A44" s="390"/>
      <c r="B44" s="297"/>
      <c r="E44" s="389"/>
      <c r="F44" s="799"/>
      <c r="G44" s="799"/>
      <c r="H44" s="799"/>
      <c r="I44" s="799"/>
      <c r="J44" s="799"/>
      <c r="K44" s="799"/>
      <c r="L44" s="799"/>
      <c r="M44" s="799"/>
      <c r="N44" s="799"/>
      <c r="O44" s="799"/>
      <c r="P44" s="799"/>
      <c r="Q44" s="799"/>
      <c r="R44" s="799"/>
      <c r="S44" s="799"/>
      <c r="T44" s="799"/>
      <c r="U44" s="799"/>
      <c r="V44" s="799"/>
    </row>
    <row r="45" spans="1:22" ht="12.75">
      <c r="A45" s="390"/>
      <c r="B45" s="297"/>
      <c r="E45" s="389"/>
      <c r="F45" s="799"/>
      <c r="G45" s="799"/>
      <c r="H45" s="799"/>
      <c r="I45" s="799"/>
      <c r="J45" s="799"/>
      <c r="K45" s="799"/>
      <c r="L45" s="799"/>
      <c r="M45" s="799"/>
      <c r="N45" s="799"/>
      <c r="O45" s="799"/>
      <c r="P45" s="799"/>
      <c r="Q45" s="799"/>
      <c r="R45" s="799"/>
      <c r="S45" s="799"/>
      <c r="T45" s="799"/>
      <c r="U45" s="799"/>
      <c r="V45" s="799"/>
    </row>
    <row r="46" spans="1:22" ht="12.75">
      <c r="A46" s="390"/>
      <c r="B46" s="297"/>
      <c r="E46" s="389"/>
      <c r="F46" s="799"/>
      <c r="G46" s="799"/>
      <c r="H46" s="799"/>
      <c r="I46" s="799"/>
      <c r="J46" s="799"/>
      <c r="K46" s="799"/>
      <c r="L46" s="799"/>
      <c r="M46" s="799"/>
      <c r="N46" s="799"/>
      <c r="O46" s="799"/>
      <c r="P46" s="799"/>
      <c r="Q46" s="799"/>
      <c r="R46" s="799"/>
      <c r="S46" s="799"/>
      <c r="T46" s="799"/>
      <c r="U46" s="799"/>
      <c r="V46" s="799"/>
    </row>
    <row r="47" spans="1:22" ht="12.75">
      <c r="A47" s="390"/>
      <c r="B47" s="297"/>
      <c r="E47" s="389"/>
      <c r="F47" s="799"/>
      <c r="G47" s="799"/>
      <c r="H47" s="799"/>
      <c r="I47" s="799"/>
      <c r="J47" s="799"/>
      <c r="K47" s="799"/>
      <c r="L47" s="799"/>
      <c r="M47" s="799"/>
      <c r="N47" s="799"/>
      <c r="O47" s="799"/>
      <c r="P47" s="799"/>
      <c r="Q47" s="799"/>
      <c r="R47" s="799"/>
      <c r="S47" s="799"/>
      <c r="T47" s="799"/>
      <c r="U47" s="799"/>
      <c r="V47" s="799"/>
    </row>
    <row r="48" spans="1:22" ht="12.75">
      <c r="A48" s="390"/>
      <c r="B48" s="297"/>
      <c r="E48" s="389"/>
      <c r="F48" s="799"/>
      <c r="G48" s="799"/>
      <c r="H48" s="799"/>
      <c r="I48" s="799"/>
      <c r="J48" s="799"/>
      <c r="K48" s="799"/>
      <c r="L48" s="799"/>
      <c r="M48" s="799"/>
      <c r="N48" s="799"/>
      <c r="O48" s="799"/>
      <c r="P48" s="799"/>
      <c r="Q48" s="799"/>
      <c r="R48" s="799"/>
      <c r="S48" s="799"/>
      <c r="T48" s="799"/>
      <c r="U48" s="799"/>
      <c r="V48" s="799"/>
    </row>
    <row r="49" spans="1:22" ht="12.75">
      <c r="A49" s="390"/>
      <c r="B49" s="297"/>
      <c r="E49" s="389"/>
      <c r="F49" s="799"/>
      <c r="G49" s="799"/>
      <c r="H49" s="799"/>
      <c r="I49" s="799"/>
      <c r="J49" s="799"/>
      <c r="K49" s="799"/>
      <c r="L49" s="799"/>
      <c r="M49" s="799"/>
      <c r="N49" s="799"/>
      <c r="O49" s="799"/>
      <c r="P49" s="799"/>
      <c r="Q49" s="799"/>
      <c r="R49" s="799"/>
      <c r="S49" s="799"/>
      <c r="T49" s="799"/>
      <c r="U49" s="799"/>
      <c r="V49" s="799"/>
    </row>
    <row r="50" spans="1:22" ht="12.75">
      <c r="A50" s="388"/>
      <c r="B50" s="387"/>
      <c r="C50" s="446"/>
      <c r="D50" s="446"/>
      <c r="E50" s="386"/>
      <c r="F50" s="799"/>
      <c r="G50" s="799"/>
      <c r="H50" s="799"/>
      <c r="I50" s="799"/>
      <c r="J50" s="799"/>
      <c r="K50" s="799"/>
      <c r="L50" s="799"/>
      <c r="M50" s="799"/>
      <c r="N50" s="799"/>
      <c r="O50" s="799"/>
      <c r="P50" s="799"/>
      <c r="Q50" s="799"/>
      <c r="R50" s="799"/>
      <c r="S50" s="799"/>
      <c r="T50" s="799"/>
      <c r="U50" s="799"/>
      <c r="V50" s="799"/>
    </row>
    <row r="51" spans="1:22" ht="12.75">
      <c r="A51" s="393" t="s">
        <v>3024</v>
      </c>
      <c r="B51" s="392"/>
      <c r="C51" s="445"/>
      <c r="D51" s="445"/>
      <c r="E51" s="391"/>
      <c r="F51" s="799"/>
      <c r="G51" s="799"/>
      <c r="H51" s="799"/>
      <c r="I51" s="799"/>
      <c r="J51" s="799"/>
      <c r="K51" s="799"/>
      <c r="L51" s="799"/>
      <c r="M51" s="799"/>
      <c r="N51" s="799"/>
      <c r="O51" s="799"/>
      <c r="P51" s="799"/>
      <c r="Q51" s="799"/>
      <c r="R51" s="799"/>
      <c r="S51" s="799"/>
      <c r="T51" s="799"/>
      <c r="U51" s="799"/>
      <c r="V51" s="799"/>
    </row>
    <row r="52" spans="1:22" ht="12.75">
      <c r="A52" s="390"/>
      <c r="B52" s="297"/>
      <c r="E52" s="389"/>
      <c r="F52" s="799"/>
      <c r="G52" s="799"/>
      <c r="H52" s="799"/>
      <c r="I52" s="799"/>
      <c r="J52" s="799"/>
      <c r="K52" s="799"/>
      <c r="L52" s="799"/>
      <c r="M52" s="799"/>
      <c r="N52" s="799"/>
      <c r="O52" s="799"/>
      <c r="P52" s="799"/>
      <c r="Q52" s="799"/>
      <c r="R52" s="799"/>
      <c r="S52" s="799"/>
      <c r="T52" s="799"/>
      <c r="U52" s="799"/>
      <c r="V52" s="799"/>
    </row>
    <row r="53" spans="1:22" ht="12.75">
      <c r="A53" s="390"/>
      <c r="B53" s="297"/>
      <c r="E53" s="389"/>
      <c r="F53" s="799"/>
      <c r="G53" s="799"/>
      <c r="H53" s="799"/>
      <c r="I53" s="799"/>
      <c r="J53" s="799"/>
      <c r="K53" s="799"/>
      <c r="L53" s="799"/>
      <c r="M53" s="799"/>
      <c r="N53" s="799"/>
      <c r="O53" s="799"/>
      <c r="P53" s="799"/>
      <c r="Q53" s="799"/>
      <c r="R53" s="799"/>
      <c r="S53" s="799"/>
      <c r="T53" s="799"/>
      <c r="U53" s="799"/>
      <c r="V53" s="799"/>
    </row>
    <row r="54" spans="1:22" ht="12.75">
      <c r="A54" s="390"/>
      <c r="B54" s="297"/>
      <c r="E54" s="389"/>
      <c r="F54" s="799"/>
      <c r="G54" s="799"/>
      <c r="H54" s="799"/>
      <c r="I54" s="799"/>
      <c r="J54" s="799"/>
      <c r="K54" s="799"/>
      <c r="L54" s="799"/>
      <c r="M54" s="799"/>
      <c r="N54" s="799"/>
      <c r="O54" s="799"/>
      <c r="P54" s="799"/>
      <c r="Q54" s="799"/>
      <c r="R54" s="799"/>
      <c r="S54" s="799"/>
      <c r="T54" s="799"/>
      <c r="U54" s="799"/>
      <c r="V54" s="799"/>
    </row>
    <row r="55" spans="1:22" ht="12.75">
      <c r="A55" s="390"/>
      <c r="B55" s="297"/>
      <c r="E55" s="389"/>
      <c r="F55" s="799"/>
      <c r="G55" s="799"/>
      <c r="H55" s="799"/>
      <c r="I55" s="799"/>
      <c r="J55" s="799"/>
      <c r="K55" s="799"/>
      <c r="L55" s="799"/>
      <c r="M55" s="799"/>
      <c r="N55" s="799"/>
      <c r="O55" s="799"/>
      <c r="P55" s="799"/>
      <c r="Q55" s="799"/>
      <c r="R55" s="799"/>
      <c r="S55" s="799"/>
      <c r="T55" s="799"/>
      <c r="U55" s="799"/>
      <c r="V55" s="799"/>
    </row>
    <row r="56" spans="1:22" ht="12.75">
      <c r="A56" s="390"/>
      <c r="B56" s="297"/>
      <c r="E56" s="389"/>
      <c r="F56" s="799"/>
      <c r="G56" s="799"/>
      <c r="H56" s="799"/>
      <c r="I56" s="799"/>
      <c r="J56" s="799"/>
      <c r="K56" s="799"/>
      <c r="L56" s="799"/>
      <c r="M56" s="799"/>
      <c r="N56" s="799"/>
      <c r="O56" s="799"/>
      <c r="P56" s="799"/>
      <c r="Q56" s="799"/>
      <c r="R56" s="799"/>
      <c r="S56" s="799"/>
      <c r="T56" s="799"/>
      <c r="U56" s="799"/>
      <c r="V56" s="799"/>
    </row>
    <row r="57" spans="1:22" ht="12.75">
      <c r="A57" s="390"/>
      <c r="B57" s="297"/>
      <c r="E57" s="389"/>
      <c r="F57" s="799"/>
      <c r="G57" s="799"/>
      <c r="H57" s="799"/>
      <c r="I57" s="799"/>
      <c r="J57" s="799"/>
      <c r="K57" s="799"/>
      <c r="L57" s="799"/>
      <c r="M57" s="799"/>
      <c r="N57" s="799"/>
      <c r="O57" s="799"/>
      <c r="P57" s="799"/>
      <c r="Q57" s="799"/>
      <c r="R57" s="799"/>
      <c r="S57" s="799"/>
      <c r="T57" s="799"/>
      <c r="U57" s="799"/>
      <c r="V57" s="799"/>
    </row>
    <row r="58" spans="1:22" ht="12.75">
      <c r="A58" s="390"/>
      <c r="B58" s="297"/>
      <c r="E58" s="389"/>
      <c r="F58" s="799"/>
      <c r="G58" s="799"/>
      <c r="H58" s="799"/>
      <c r="I58" s="799"/>
      <c r="J58" s="799"/>
      <c r="K58" s="799"/>
      <c r="L58" s="799"/>
      <c r="M58" s="799"/>
      <c r="N58" s="799"/>
      <c r="O58" s="799"/>
      <c r="P58" s="799"/>
      <c r="Q58" s="799"/>
      <c r="R58" s="799"/>
      <c r="S58" s="799"/>
      <c r="T58" s="799"/>
      <c r="U58" s="799"/>
      <c r="V58" s="799"/>
    </row>
    <row r="59" spans="1:22" ht="12.75">
      <c r="A59" s="390"/>
      <c r="B59" s="297"/>
      <c r="E59" s="389"/>
      <c r="F59" s="799"/>
      <c r="G59" s="799"/>
      <c r="H59" s="799"/>
      <c r="I59" s="799"/>
      <c r="J59" s="799"/>
      <c r="K59" s="799"/>
      <c r="L59" s="799"/>
      <c r="M59" s="799"/>
      <c r="N59" s="799"/>
      <c r="O59" s="799"/>
      <c r="P59" s="799"/>
      <c r="Q59" s="799"/>
      <c r="R59" s="799"/>
      <c r="S59" s="799"/>
      <c r="T59" s="799"/>
      <c r="U59" s="799"/>
      <c r="V59" s="799"/>
    </row>
    <row r="60" spans="1:22" ht="12.75">
      <c r="A60" s="388"/>
      <c r="B60" s="387"/>
      <c r="C60" s="446"/>
      <c r="D60" s="446"/>
      <c r="E60" s="386"/>
      <c r="F60" s="799"/>
      <c r="G60" s="799"/>
      <c r="H60" s="799"/>
      <c r="I60" s="799"/>
      <c r="J60" s="799"/>
      <c r="K60" s="799"/>
      <c r="L60" s="799"/>
      <c r="M60" s="799"/>
      <c r="N60" s="799"/>
      <c r="O60" s="799"/>
      <c r="P60" s="799"/>
      <c r="Q60" s="799"/>
      <c r="R60" s="799"/>
      <c r="S60" s="799"/>
      <c r="T60" s="799"/>
      <c r="U60" s="799"/>
      <c r="V60" s="799"/>
    </row>
    <row r="61" spans="1:22" ht="15" customHeight="1">
      <c r="A61" s="295" t="s">
        <v>3023</v>
      </c>
      <c r="B61" s="297"/>
      <c r="C61" s="297"/>
      <c r="D61" s="297"/>
      <c r="E61" s="297"/>
      <c r="F61" s="297"/>
      <c r="G61" s="297"/>
      <c r="H61" s="297"/>
      <c r="I61" s="297"/>
      <c r="J61" s="297"/>
      <c r="K61" s="297"/>
      <c r="L61" s="297"/>
    </row>
    <row r="62" spans="1:22" ht="15" customHeight="1">
      <c r="A62" s="295" t="s">
        <v>3022</v>
      </c>
      <c r="B62" s="297"/>
      <c r="C62" s="297"/>
      <c r="D62" s="297"/>
      <c r="E62" s="297"/>
      <c r="F62" s="297"/>
      <c r="G62" s="297"/>
      <c r="H62" s="297"/>
      <c r="I62" s="297"/>
      <c r="J62" s="297"/>
      <c r="K62" s="297"/>
      <c r="L62" s="297"/>
    </row>
    <row r="63" spans="1:22" ht="15" customHeight="1">
      <c r="A63" s="295" t="s">
        <v>3021</v>
      </c>
      <c r="B63" s="297"/>
      <c r="C63" s="297"/>
      <c r="D63" s="297"/>
      <c r="E63" s="297"/>
      <c r="F63" s="297"/>
      <c r="G63" s="297"/>
      <c r="H63" s="297"/>
      <c r="I63" s="297"/>
      <c r="J63" s="297"/>
      <c r="K63" s="297"/>
      <c r="L63" s="297"/>
    </row>
    <row r="64" spans="1:22" ht="15" customHeight="1">
      <c r="A64" s="295" t="s">
        <v>3020</v>
      </c>
      <c r="B64" s="297"/>
      <c r="C64" s="297"/>
      <c r="D64" s="297"/>
      <c r="E64" s="297"/>
      <c r="F64" s="297"/>
      <c r="G64" s="297"/>
      <c r="H64" s="297"/>
      <c r="I64" s="297"/>
      <c r="J64" s="297"/>
      <c r="K64" s="297"/>
      <c r="L64" s="297"/>
    </row>
    <row r="65" spans="1:12" ht="11.25" customHeight="1">
      <c r="A65" s="297"/>
      <c r="B65" s="297"/>
      <c r="C65" s="297"/>
      <c r="D65" s="297"/>
      <c r="E65" s="297"/>
      <c r="F65" s="297"/>
      <c r="G65" s="297"/>
      <c r="H65" s="297"/>
      <c r="I65" s="297"/>
      <c r="J65" s="297"/>
      <c r="K65" s="297"/>
      <c r="L65" s="297"/>
    </row>
  </sheetData>
  <mergeCells count="20">
    <mergeCell ref="F31:V50"/>
    <mergeCell ref="F51:V60"/>
    <mergeCell ref="F29:M30"/>
    <mergeCell ref="N29:V30"/>
    <mergeCell ref="J27:K28"/>
    <mergeCell ref="A1:D1"/>
    <mergeCell ref="A3:V5"/>
    <mergeCell ref="M15:V16"/>
    <mergeCell ref="A10:J10"/>
    <mergeCell ref="P8:Q8"/>
    <mergeCell ref="AE18:AF18"/>
    <mergeCell ref="L27:L28"/>
    <mergeCell ref="N27:N28"/>
    <mergeCell ref="P27:P28"/>
    <mergeCell ref="O27:O28"/>
    <mergeCell ref="M27:M28"/>
    <mergeCell ref="M17:V18"/>
    <mergeCell ref="F23:V24"/>
    <mergeCell ref="F25:V26"/>
    <mergeCell ref="A20:V21"/>
  </mergeCells>
  <phoneticPr fontId="57"/>
  <printOptions horizontalCentered="1"/>
  <pageMargins left="0.39370078740157483" right="0.39370078740157483" top="0.59055118110236227" bottom="0.59055118110236227"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zoomScale="70" zoomScaleNormal="70" zoomScaleSheetLayoutView="70" workbookViewId="0">
      <selection activeCell="J17" sqref="J17"/>
    </sheetView>
  </sheetViews>
  <sheetFormatPr defaultColWidth="3.75" defaultRowHeight="17.25" customHeight="1"/>
  <cols>
    <col min="1" max="1" width="2.5" style="295" customWidth="1"/>
    <col min="2" max="2" width="3" style="295" customWidth="1"/>
    <col min="3" max="4" width="2.25" style="295" customWidth="1"/>
    <col min="5" max="8" width="4.125" style="295" customWidth="1"/>
    <col min="9" max="9" width="1.25" style="295" customWidth="1"/>
    <col min="10" max="23" width="4.125" style="295" customWidth="1"/>
    <col min="24" max="24" width="2.625" style="295" customWidth="1"/>
    <col min="25" max="256" width="3.75" style="295" customWidth="1"/>
    <col min="257" max="257" width="2.5" style="295" customWidth="1"/>
    <col min="258" max="258" width="3" style="295" customWidth="1"/>
    <col min="259" max="260" width="2.25" style="295" customWidth="1"/>
    <col min="261" max="264" width="4.125" style="295" customWidth="1"/>
    <col min="265" max="265" width="1.25" style="295" customWidth="1"/>
    <col min="266" max="279" width="4.125" style="295" customWidth="1"/>
    <col min="280" max="280" width="2.625" style="295" customWidth="1"/>
    <col min="281" max="512" width="3.75" style="295" customWidth="1"/>
    <col min="513" max="513" width="2.5" style="295" customWidth="1"/>
    <col min="514" max="514" width="3" style="295" customWidth="1"/>
    <col min="515" max="516" width="2.25" style="295" customWidth="1"/>
    <col min="517" max="520" width="4.125" style="295" customWidth="1"/>
    <col min="521" max="521" width="1.25" style="295" customWidth="1"/>
    <col min="522" max="535" width="4.125" style="295" customWidth="1"/>
    <col min="536" max="536" width="2.625" style="295" customWidth="1"/>
    <col min="537" max="768" width="3.75" style="295" customWidth="1"/>
    <col min="769" max="769" width="2.5" style="295" customWidth="1"/>
    <col min="770" max="770" width="3" style="295" customWidth="1"/>
    <col min="771" max="772" width="2.25" style="295" customWidth="1"/>
    <col min="773" max="776" width="4.125" style="295" customWidth="1"/>
    <col min="777" max="777" width="1.25" style="295" customWidth="1"/>
    <col min="778" max="791" width="4.125" style="295" customWidth="1"/>
    <col min="792" max="792" width="2.625" style="295" customWidth="1"/>
    <col min="793" max="1024" width="3.75" style="295" customWidth="1"/>
    <col min="1025" max="1025" width="2.5" style="295" customWidth="1"/>
    <col min="1026" max="1026" width="3" style="295" customWidth="1"/>
    <col min="1027" max="1028" width="2.25" style="295" customWidth="1"/>
    <col min="1029" max="1032" width="4.125" style="295" customWidth="1"/>
    <col min="1033" max="1033" width="1.25" style="295" customWidth="1"/>
    <col min="1034" max="1047" width="4.125" style="295" customWidth="1"/>
    <col min="1048" max="1048" width="2.625" style="295" customWidth="1"/>
    <col min="1049" max="1280" width="3.75" style="295" customWidth="1"/>
    <col min="1281" max="1281" width="2.5" style="295" customWidth="1"/>
    <col min="1282" max="1282" width="3" style="295" customWidth="1"/>
    <col min="1283" max="1284" width="2.25" style="295" customWidth="1"/>
    <col min="1285" max="1288" width="4.125" style="295" customWidth="1"/>
    <col min="1289" max="1289" width="1.25" style="295" customWidth="1"/>
    <col min="1290" max="1303" width="4.125" style="295" customWidth="1"/>
    <col min="1304" max="1304" width="2.625" style="295" customWidth="1"/>
    <col min="1305" max="1536" width="3.75" style="295" customWidth="1"/>
    <col min="1537" max="1537" width="2.5" style="295" customWidth="1"/>
    <col min="1538" max="1538" width="3" style="295" customWidth="1"/>
    <col min="1539" max="1540" width="2.25" style="295" customWidth="1"/>
    <col min="1541" max="1544" width="4.125" style="295" customWidth="1"/>
    <col min="1545" max="1545" width="1.25" style="295" customWidth="1"/>
    <col min="1546" max="1559" width="4.125" style="295" customWidth="1"/>
    <col min="1560" max="1560" width="2.625" style="295" customWidth="1"/>
    <col min="1561" max="1792" width="3.75" style="295" customWidth="1"/>
    <col min="1793" max="1793" width="2.5" style="295" customWidth="1"/>
    <col min="1794" max="1794" width="3" style="295" customWidth="1"/>
    <col min="1795" max="1796" width="2.25" style="295" customWidth="1"/>
    <col min="1797" max="1800" width="4.125" style="295" customWidth="1"/>
    <col min="1801" max="1801" width="1.25" style="295" customWidth="1"/>
    <col min="1802" max="1815" width="4.125" style="295" customWidth="1"/>
    <col min="1816" max="1816" width="2.625" style="295" customWidth="1"/>
    <col min="1817" max="2048" width="3.75" style="295" customWidth="1"/>
    <col min="2049" max="2049" width="2.5" style="295" customWidth="1"/>
    <col min="2050" max="2050" width="3" style="295" customWidth="1"/>
    <col min="2051" max="2052" width="2.25" style="295" customWidth="1"/>
    <col min="2053" max="2056" width="4.125" style="295" customWidth="1"/>
    <col min="2057" max="2057" width="1.25" style="295" customWidth="1"/>
    <col min="2058" max="2071" width="4.125" style="295" customWidth="1"/>
    <col min="2072" max="2072" width="2.625" style="295" customWidth="1"/>
    <col min="2073" max="2304" width="3.75" style="295" customWidth="1"/>
    <col min="2305" max="2305" width="2.5" style="295" customWidth="1"/>
    <col min="2306" max="2306" width="3" style="295" customWidth="1"/>
    <col min="2307" max="2308" width="2.25" style="295" customWidth="1"/>
    <col min="2309" max="2312" width="4.125" style="295" customWidth="1"/>
    <col min="2313" max="2313" width="1.25" style="295" customWidth="1"/>
    <col min="2314" max="2327" width="4.125" style="295" customWidth="1"/>
    <col min="2328" max="2328" width="2.625" style="295" customWidth="1"/>
    <col min="2329" max="2560" width="3.75" style="295" customWidth="1"/>
    <col min="2561" max="2561" width="2.5" style="295" customWidth="1"/>
    <col min="2562" max="2562" width="3" style="295" customWidth="1"/>
    <col min="2563" max="2564" width="2.25" style="295" customWidth="1"/>
    <col min="2565" max="2568" width="4.125" style="295" customWidth="1"/>
    <col min="2569" max="2569" width="1.25" style="295" customWidth="1"/>
    <col min="2570" max="2583" width="4.125" style="295" customWidth="1"/>
    <col min="2584" max="2584" width="2.625" style="295" customWidth="1"/>
    <col min="2585" max="2816" width="3.75" style="295" customWidth="1"/>
    <col min="2817" max="2817" width="2.5" style="295" customWidth="1"/>
    <col min="2818" max="2818" width="3" style="295" customWidth="1"/>
    <col min="2819" max="2820" width="2.25" style="295" customWidth="1"/>
    <col min="2821" max="2824" width="4.125" style="295" customWidth="1"/>
    <col min="2825" max="2825" width="1.25" style="295" customWidth="1"/>
    <col min="2826" max="2839" width="4.125" style="295" customWidth="1"/>
    <col min="2840" max="2840" width="2.625" style="295" customWidth="1"/>
    <col min="2841" max="3072" width="3.75" style="295" customWidth="1"/>
    <col min="3073" max="3073" width="2.5" style="295" customWidth="1"/>
    <col min="3074" max="3074" width="3" style="295" customWidth="1"/>
    <col min="3075" max="3076" width="2.25" style="295" customWidth="1"/>
    <col min="3077" max="3080" width="4.125" style="295" customWidth="1"/>
    <col min="3081" max="3081" width="1.25" style="295" customWidth="1"/>
    <col min="3082" max="3095" width="4.125" style="295" customWidth="1"/>
    <col min="3096" max="3096" width="2.625" style="295" customWidth="1"/>
    <col min="3097" max="3328" width="3.75" style="295" customWidth="1"/>
    <col min="3329" max="3329" width="2.5" style="295" customWidth="1"/>
    <col min="3330" max="3330" width="3" style="295" customWidth="1"/>
    <col min="3331" max="3332" width="2.25" style="295" customWidth="1"/>
    <col min="3333" max="3336" width="4.125" style="295" customWidth="1"/>
    <col min="3337" max="3337" width="1.25" style="295" customWidth="1"/>
    <col min="3338" max="3351" width="4.125" style="295" customWidth="1"/>
    <col min="3352" max="3352" width="2.625" style="295" customWidth="1"/>
    <col min="3353" max="3584" width="3.75" style="295" customWidth="1"/>
    <col min="3585" max="3585" width="2.5" style="295" customWidth="1"/>
    <col min="3586" max="3586" width="3" style="295" customWidth="1"/>
    <col min="3587" max="3588" width="2.25" style="295" customWidth="1"/>
    <col min="3589" max="3592" width="4.125" style="295" customWidth="1"/>
    <col min="3593" max="3593" width="1.25" style="295" customWidth="1"/>
    <col min="3594" max="3607" width="4.125" style="295" customWidth="1"/>
    <col min="3608" max="3608" width="2.625" style="295" customWidth="1"/>
    <col min="3609" max="3840" width="3.75" style="295" customWidth="1"/>
    <col min="3841" max="3841" width="2.5" style="295" customWidth="1"/>
    <col min="3842" max="3842" width="3" style="295" customWidth="1"/>
    <col min="3843" max="3844" width="2.25" style="295" customWidth="1"/>
    <col min="3845" max="3848" width="4.125" style="295" customWidth="1"/>
    <col min="3849" max="3849" width="1.25" style="295" customWidth="1"/>
    <col min="3850" max="3863" width="4.125" style="295" customWidth="1"/>
    <col min="3864" max="3864" width="2.625" style="295" customWidth="1"/>
    <col min="3865" max="4096" width="3.75" style="295" customWidth="1"/>
    <col min="4097" max="4097" width="2.5" style="295" customWidth="1"/>
    <col min="4098" max="4098" width="3" style="295" customWidth="1"/>
    <col min="4099" max="4100" width="2.25" style="295" customWidth="1"/>
    <col min="4101" max="4104" width="4.125" style="295" customWidth="1"/>
    <col min="4105" max="4105" width="1.25" style="295" customWidth="1"/>
    <col min="4106" max="4119" width="4.125" style="295" customWidth="1"/>
    <col min="4120" max="4120" width="2.625" style="295" customWidth="1"/>
    <col min="4121" max="4352" width="3.75" style="295" customWidth="1"/>
    <col min="4353" max="4353" width="2.5" style="295" customWidth="1"/>
    <col min="4354" max="4354" width="3" style="295" customWidth="1"/>
    <col min="4355" max="4356" width="2.25" style="295" customWidth="1"/>
    <col min="4357" max="4360" width="4.125" style="295" customWidth="1"/>
    <col min="4361" max="4361" width="1.25" style="295" customWidth="1"/>
    <col min="4362" max="4375" width="4.125" style="295" customWidth="1"/>
    <col min="4376" max="4376" width="2.625" style="295" customWidth="1"/>
    <col min="4377" max="4608" width="3.75" style="295" customWidth="1"/>
    <col min="4609" max="4609" width="2.5" style="295" customWidth="1"/>
    <col min="4610" max="4610" width="3" style="295" customWidth="1"/>
    <col min="4611" max="4612" width="2.25" style="295" customWidth="1"/>
    <col min="4613" max="4616" width="4.125" style="295" customWidth="1"/>
    <col min="4617" max="4617" width="1.25" style="295" customWidth="1"/>
    <col min="4618" max="4631" width="4.125" style="295" customWidth="1"/>
    <col min="4632" max="4632" width="2.625" style="295" customWidth="1"/>
    <col min="4633" max="4864" width="3.75" style="295" customWidth="1"/>
    <col min="4865" max="4865" width="2.5" style="295" customWidth="1"/>
    <col min="4866" max="4866" width="3" style="295" customWidth="1"/>
    <col min="4867" max="4868" width="2.25" style="295" customWidth="1"/>
    <col min="4869" max="4872" width="4.125" style="295" customWidth="1"/>
    <col min="4873" max="4873" width="1.25" style="295" customWidth="1"/>
    <col min="4874" max="4887" width="4.125" style="295" customWidth="1"/>
    <col min="4888" max="4888" width="2.625" style="295" customWidth="1"/>
    <col min="4889" max="5120" width="3.75" style="295" customWidth="1"/>
    <col min="5121" max="5121" width="2.5" style="295" customWidth="1"/>
    <col min="5122" max="5122" width="3" style="295" customWidth="1"/>
    <col min="5123" max="5124" width="2.25" style="295" customWidth="1"/>
    <col min="5125" max="5128" width="4.125" style="295" customWidth="1"/>
    <col min="5129" max="5129" width="1.25" style="295" customWidth="1"/>
    <col min="5130" max="5143" width="4.125" style="295" customWidth="1"/>
    <col min="5144" max="5144" width="2.625" style="295" customWidth="1"/>
    <col min="5145" max="5376" width="3.75" style="295" customWidth="1"/>
    <col min="5377" max="5377" width="2.5" style="295" customWidth="1"/>
    <col min="5378" max="5378" width="3" style="295" customWidth="1"/>
    <col min="5379" max="5380" width="2.25" style="295" customWidth="1"/>
    <col min="5381" max="5384" width="4.125" style="295" customWidth="1"/>
    <col min="5385" max="5385" width="1.25" style="295" customWidth="1"/>
    <col min="5386" max="5399" width="4.125" style="295" customWidth="1"/>
    <col min="5400" max="5400" width="2.625" style="295" customWidth="1"/>
    <col min="5401" max="5632" width="3.75" style="295" customWidth="1"/>
    <col min="5633" max="5633" width="2.5" style="295" customWidth="1"/>
    <col min="5634" max="5634" width="3" style="295" customWidth="1"/>
    <col min="5635" max="5636" width="2.25" style="295" customWidth="1"/>
    <col min="5637" max="5640" width="4.125" style="295" customWidth="1"/>
    <col min="5641" max="5641" width="1.25" style="295" customWidth="1"/>
    <col min="5642" max="5655" width="4.125" style="295" customWidth="1"/>
    <col min="5656" max="5656" width="2.625" style="295" customWidth="1"/>
    <col min="5657" max="5888" width="3.75" style="295" customWidth="1"/>
    <col min="5889" max="5889" width="2.5" style="295" customWidth="1"/>
    <col min="5890" max="5890" width="3" style="295" customWidth="1"/>
    <col min="5891" max="5892" width="2.25" style="295" customWidth="1"/>
    <col min="5893" max="5896" width="4.125" style="295" customWidth="1"/>
    <col min="5897" max="5897" width="1.25" style="295" customWidth="1"/>
    <col min="5898" max="5911" width="4.125" style="295" customWidth="1"/>
    <col min="5912" max="5912" width="2.625" style="295" customWidth="1"/>
    <col min="5913" max="6144" width="3.75" style="295" customWidth="1"/>
    <col min="6145" max="6145" width="2.5" style="295" customWidth="1"/>
    <col min="6146" max="6146" width="3" style="295" customWidth="1"/>
    <col min="6147" max="6148" width="2.25" style="295" customWidth="1"/>
    <col min="6149" max="6152" width="4.125" style="295" customWidth="1"/>
    <col min="6153" max="6153" width="1.25" style="295" customWidth="1"/>
    <col min="6154" max="6167" width="4.125" style="295" customWidth="1"/>
    <col min="6168" max="6168" width="2.625" style="295" customWidth="1"/>
    <col min="6169" max="6400" width="3.75" style="295" customWidth="1"/>
    <col min="6401" max="6401" width="2.5" style="295" customWidth="1"/>
    <col min="6402" max="6402" width="3" style="295" customWidth="1"/>
    <col min="6403" max="6404" width="2.25" style="295" customWidth="1"/>
    <col min="6405" max="6408" width="4.125" style="295" customWidth="1"/>
    <col min="6409" max="6409" width="1.25" style="295" customWidth="1"/>
    <col min="6410" max="6423" width="4.125" style="295" customWidth="1"/>
    <col min="6424" max="6424" width="2.625" style="295" customWidth="1"/>
    <col min="6425" max="6656" width="3.75" style="295" customWidth="1"/>
    <col min="6657" max="6657" width="2.5" style="295" customWidth="1"/>
    <col min="6658" max="6658" width="3" style="295" customWidth="1"/>
    <col min="6659" max="6660" width="2.25" style="295" customWidth="1"/>
    <col min="6661" max="6664" width="4.125" style="295" customWidth="1"/>
    <col min="6665" max="6665" width="1.25" style="295" customWidth="1"/>
    <col min="6666" max="6679" width="4.125" style="295" customWidth="1"/>
    <col min="6680" max="6680" width="2.625" style="295" customWidth="1"/>
    <col min="6681" max="6912" width="3.75" style="295" customWidth="1"/>
    <col min="6913" max="6913" width="2.5" style="295" customWidth="1"/>
    <col min="6914" max="6914" width="3" style="295" customWidth="1"/>
    <col min="6915" max="6916" width="2.25" style="295" customWidth="1"/>
    <col min="6917" max="6920" width="4.125" style="295" customWidth="1"/>
    <col min="6921" max="6921" width="1.25" style="295" customWidth="1"/>
    <col min="6922" max="6935" width="4.125" style="295" customWidth="1"/>
    <col min="6936" max="6936" width="2.625" style="295" customWidth="1"/>
    <col min="6937" max="7168" width="3.75" style="295" customWidth="1"/>
    <col min="7169" max="7169" width="2.5" style="295" customWidth="1"/>
    <col min="7170" max="7170" width="3" style="295" customWidth="1"/>
    <col min="7171" max="7172" width="2.25" style="295" customWidth="1"/>
    <col min="7173" max="7176" width="4.125" style="295" customWidth="1"/>
    <col min="7177" max="7177" width="1.25" style="295" customWidth="1"/>
    <col min="7178" max="7191" width="4.125" style="295" customWidth="1"/>
    <col min="7192" max="7192" width="2.625" style="295" customWidth="1"/>
    <col min="7193" max="7424" width="3.75" style="295" customWidth="1"/>
    <col min="7425" max="7425" width="2.5" style="295" customWidth="1"/>
    <col min="7426" max="7426" width="3" style="295" customWidth="1"/>
    <col min="7427" max="7428" width="2.25" style="295" customWidth="1"/>
    <col min="7429" max="7432" width="4.125" style="295" customWidth="1"/>
    <col min="7433" max="7433" width="1.25" style="295" customWidth="1"/>
    <col min="7434" max="7447" width="4.125" style="295" customWidth="1"/>
    <col min="7448" max="7448" width="2.625" style="295" customWidth="1"/>
    <col min="7449" max="7680" width="3.75" style="295" customWidth="1"/>
    <col min="7681" max="7681" width="2.5" style="295" customWidth="1"/>
    <col min="7682" max="7682" width="3" style="295" customWidth="1"/>
    <col min="7683" max="7684" width="2.25" style="295" customWidth="1"/>
    <col min="7685" max="7688" width="4.125" style="295" customWidth="1"/>
    <col min="7689" max="7689" width="1.25" style="295" customWidth="1"/>
    <col min="7690" max="7703" width="4.125" style="295" customWidth="1"/>
    <col min="7704" max="7704" width="2.625" style="295" customWidth="1"/>
    <col min="7705" max="7936" width="3.75" style="295" customWidth="1"/>
    <col min="7937" max="7937" width="2.5" style="295" customWidth="1"/>
    <col min="7938" max="7938" width="3" style="295" customWidth="1"/>
    <col min="7939" max="7940" width="2.25" style="295" customWidth="1"/>
    <col min="7941" max="7944" width="4.125" style="295" customWidth="1"/>
    <col min="7945" max="7945" width="1.25" style="295" customWidth="1"/>
    <col min="7946" max="7959" width="4.125" style="295" customWidth="1"/>
    <col min="7960" max="7960" width="2.625" style="295" customWidth="1"/>
    <col min="7961" max="8192" width="3.75" style="295" customWidth="1"/>
    <col min="8193" max="8193" width="2.5" style="295" customWidth="1"/>
    <col min="8194" max="8194" width="3" style="295" customWidth="1"/>
    <col min="8195" max="8196" width="2.25" style="295" customWidth="1"/>
    <col min="8197" max="8200" width="4.125" style="295" customWidth="1"/>
    <col min="8201" max="8201" width="1.25" style="295" customWidth="1"/>
    <col min="8202" max="8215" width="4.125" style="295" customWidth="1"/>
    <col min="8216" max="8216" width="2.625" style="295" customWidth="1"/>
    <col min="8217" max="8448" width="3.75" style="295" customWidth="1"/>
    <col min="8449" max="8449" width="2.5" style="295" customWidth="1"/>
    <col min="8450" max="8450" width="3" style="295" customWidth="1"/>
    <col min="8451" max="8452" width="2.25" style="295" customWidth="1"/>
    <col min="8453" max="8456" width="4.125" style="295" customWidth="1"/>
    <col min="8457" max="8457" width="1.25" style="295" customWidth="1"/>
    <col min="8458" max="8471" width="4.125" style="295" customWidth="1"/>
    <col min="8472" max="8472" width="2.625" style="295" customWidth="1"/>
    <col min="8473" max="8704" width="3.75" style="295" customWidth="1"/>
    <col min="8705" max="8705" width="2.5" style="295" customWidth="1"/>
    <col min="8706" max="8706" width="3" style="295" customWidth="1"/>
    <col min="8707" max="8708" width="2.25" style="295" customWidth="1"/>
    <col min="8709" max="8712" width="4.125" style="295" customWidth="1"/>
    <col min="8713" max="8713" width="1.25" style="295" customWidth="1"/>
    <col min="8714" max="8727" width="4.125" style="295" customWidth="1"/>
    <col min="8728" max="8728" width="2.625" style="295" customWidth="1"/>
    <col min="8729" max="8960" width="3.75" style="295" customWidth="1"/>
    <col min="8961" max="8961" width="2.5" style="295" customWidth="1"/>
    <col min="8962" max="8962" width="3" style="295" customWidth="1"/>
    <col min="8963" max="8964" width="2.25" style="295" customWidth="1"/>
    <col min="8965" max="8968" width="4.125" style="295" customWidth="1"/>
    <col min="8969" max="8969" width="1.25" style="295" customWidth="1"/>
    <col min="8970" max="8983" width="4.125" style="295" customWidth="1"/>
    <col min="8984" max="8984" width="2.625" style="295" customWidth="1"/>
    <col min="8985" max="9216" width="3.75" style="295" customWidth="1"/>
    <col min="9217" max="9217" width="2.5" style="295" customWidth="1"/>
    <col min="9218" max="9218" width="3" style="295" customWidth="1"/>
    <col min="9219" max="9220" width="2.25" style="295" customWidth="1"/>
    <col min="9221" max="9224" width="4.125" style="295" customWidth="1"/>
    <col min="9225" max="9225" width="1.25" style="295" customWidth="1"/>
    <col min="9226" max="9239" width="4.125" style="295" customWidth="1"/>
    <col min="9240" max="9240" width="2.625" style="295" customWidth="1"/>
    <col min="9241" max="9472" width="3.75" style="295" customWidth="1"/>
    <col min="9473" max="9473" width="2.5" style="295" customWidth="1"/>
    <col min="9474" max="9474" width="3" style="295" customWidth="1"/>
    <col min="9475" max="9476" width="2.25" style="295" customWidth="1"/>
    <col min="9477" max="9480" width="4.125" style="295" customWidth="1"/>
    <col min="9481" max="9481" width="1.25" style="295" customWidth="1"/>
    <col min="9482" max="9495" width="4.125" style="295" customWidth="1"/>
    <col min="9496" max="9496" width="2.625" style="295" customWidth="1"/>
    <col min="9497" max="9728" width="3.75" style="295" customWidth="1"/>
    <col min="9729" max="9729" width="2.5" style="295" customWidth="1"/>
    <col min="9730" max="9730" width="3" style="295" customWidth="1"/>
    <col min="9731" max="9732" width="2.25" style="295" customWidth="1"/>
    <col min="9733" max="9736" width="4.125" style="295" customWidth="1"/>
    <col min="9737" max="9737" width="1.25" style="295" customWidth="1"/>
    <col min="9738" max="9751" width="4.125" style="295" customWidth="1"/>
    <col min="9752" max="9752" width="2.625" style="295" customWidth="1"/>
    <col min="9753" max="9984" width="3.75" style="295" customWidth="1"/>
    <col min="9985" max="9985" width="2.5" style="295" customWidth="1"/>
    <col min="9986" max="9986" width="3" style="295" customWidth="1"/>
    <col min="9987" max="9988" width="2.25" style="295" customWidth="1"/>
    <col min="9989" max="9992" width="4.125" style="295" customWidth="1"/>
    <col min="9993" max="9993" width="1.25" style="295" customWidth="1"/>
    <col min="9994" max="10007" width="4.125" style="295" customWidth="1"/>
    <col min="10008" max="10008" width="2.625" style="295" customWidth="1"/>
    <col min="10009" max="10240" width="3.75" style="295" customWidth="1"/>
    <col min="10241" max="10241" width="2.5" style="295" customWidth="1"/>
    <col min="10242" max="10242" width="3" style="295" customWidth="1"/>
    <col min="10243" max="10244" width="2.25" style="295" customWidth="1"/>
    <col min="10245" max="10248" width="4.125" style="295" customWidth="1"/>
    <col min="10249" max="10249" width="1.25" style="295" customWidth="1"/>
    <col min="10250" max="10263" width="4.125" style="295" customWidth="1"/>
    <col min="10264" max="10264" width="2.625" style="295" customWidth="1"/>
    <col min="10265" max="10496" width="3.75" style="295" customWidth="1"/>
    <col min="10497" max="10497" width="2.5" style="295" customWidth="1"/>
    <col min="10498" max="10498" width="3" style="295" customWidth="1"/>
    <col min="10499" max="10500" width="2.25" style="295" customWidth="1"/>
    <col min="10501" max="10504" width="4.125" style="295" customWidth="1"/>
    <col min="10505" max="10505" width="1.25" style="295" customWidth="1"/>
    <col min="10506" max="10519" width="4.125" style="295" customWidth="1"/>
    <col min="10520" max="10520" width="2.625" style="295" customWidth="1"/>
    <col min="10521" max="10752" width="3.75" style="295" customWidth="1"/>
    <col min="10753" max="10753" width="2.5" style="295" customWidth="1"/>
    <col min="10754" max="10754" width="3" style="295" customWidth="1"/>
    <col min="10755" max="10756" width="2.25" style="295" customWidth="1"/>
    <col min="10757" max="10760" width="4.125" style="295" customWidth="1"/>
    <col min="10761" max="10761" width="1.25" style="295" customWidth="1"/>
    <col min="10762" max="10775" width="4.125" style="295" customWidth="1"/>
    <col min="10776" max="10776" width="2.625" style="295" customWidth="1"/>
    <col min="10777" max="11008" width="3.75" style="295" customWidth="1"/>
    <col min="11009" max="11009" width="2.5" style="295" customWidth="1"/>
    <col min="11010" max="11010" width="3" style="295" customWidth="1"/>
    <col min="11011" max="11012" width="2.25" style="295" customWidth="1"/>
    <col min="11013" max="11016" width="4.125" style="295" customWidth="1"/>
    <col min="11017" max="11017" width="1.25" style="295" customWidth="1"/>
    <col min="11018" max="11031" width="4.125" style="295" customWidth="1"/>
    <col min="11032" max="11032" width="2.625" style="295" customWidth="1"/>
    <col min="11033" max="11264" width="3.75" style="295" customWidth="1"/>
    <col min="11265" max="11265" width="2.5" style="295" customWidth="1"/>
    <col min="11266" max="11266" width="3" style="295" customWidth="1"/>
    <col min="11267" max="11268" width="2.25" style="295" customWidth="1"/>
    <col min="11269" max="11272" width="4.125" style="295" customWidth="1"/>
    <col min="11273" max="11273" width="1.25" style="295" customWidth="1"/>
    <col min="11274" max="11287" width="4.125" style="295" customWidth="1"/>
    <col min="11288" max="11288" width="2.625" style="295" customWidth="1"/>
    <col min="11289" max="11520" width="3.75" style="295" customWidth="1"/>
    <col min="11521" max="11521" width="2.5" style="295" customWidth="1"/>
    <col min="11522" max="11522" width="3" style="295" customWidth="1"/>
    <col min="11523" max="11524" width="2.25" style="295" customWidth="1"/>
    <col min="11525" max="11528" width="4.125" style="295" customWidth="1"/>
    <col min="11529" max="11529" width="1.25" style="295" customWidth="1"/>
    <col min="11530" max="11543" width="4.125" style="295" customWidth="1"/>
    <col min="11544" max="11544" width="2.625" style="295" customWidth="1"/>
    <col min="11545" max="11776" width="3.75" style="295" customWidth="1"/>
    <col min="11777" max="11777" width="2.5" style="295" customWidth="1"/>
    <col min="11778" max="11778" width="3" style="295" customWidth="1"/>
    <col min="11779" max="11780" width="2.25" style="295" customWidth="1"/>
    <col min="11781" max="11784" width="4.125" style="295" customWidth="1"/>
    <col min="11785" max="11785" width="1.25" style="295" customWidth="1"/>
    <col min="11786" max="11799" width="4.125" style="295" customWidth="1"/>
    <col min="11800" max="11800" width="2.625" style="295" customWidth="1"/>
    <col min="11801" max="12032" width="3.75" style="295" customWidth="1"/>
    <col min="12033" max="12033" width="2.5" style="295" customWidth="1"/>
    <col min="12034" max="12034" width="3" style="295" customWidth="1"/>
    <col min="12035" max="12036" width="2.25" style="295" customWidth="1"/>
    <col min="12037" max="12040" width="4.125" style="295" customWidth="1"/>
    <col min="12041" max="12041" width="1.25" style="295" customWidth="1"/>
    <col min="12042" max="12055" width="4.125" style="295" customWidth="1"/>
    <col min="12056" max="12056" width="2.625" style="295" customWidth="1"/>
    <col min="12057" max="12288" width="3.75" style="295" customWidth="1"/>
    <col min="12289" max="12289" width="2.5" style="295" customWidth="1"/>
    <col min="12290" max="12290" width="3" style="295" customWidth="1"/>
    <col min="12291" max="12292" width="2.25" style="295" customWidth="1"/>
    <col min="12293" max="12296" width="4.125" style="295" customWidth="1"/>
    <col min="12297" max="12297" width="1.25" style="295" customWidth="1"/>
    <col min="12298" max="12311" width="4.125" style="295" customWidth="1"/>
    <col min="12312" max="12312" width="2.625" style="295" customWidth="1"/>
    <col min="12313" max="12544" width="3.75" style="295" customWidth="1"/>
    <col min="12545" max="12545" width="2.5" style="295" customWidth="1"/>
    <col min="12546" max="12546" width="3" style="295" customWidth="1"/>
    <col min="12547" max="12548" width="2.25" style="295" customWidth="1"/>
    <col min="12549" max="12552" width="4.125" style="295" customWidth="1"/>
    <col min="12553" max="12553" width="1.25" style="295" customWidth="1"/>
    <col min="12554" max="12567" width="4.125" style="295" customWidth="1"/>
    <col min="12568" max="12568" width="2.625" style="295" customWidth="1"/>
    <col min="12569" max="12800" width="3.75" style="295" customWidth="1"/>
    <col min="12801" max="12801" width="2.5" style="295" customWidth="1"/>
    <col min="12802" max="12802" width="3" style="295" customWidth="1"/>
    <col min="12803" max="12804" width="2.25" style="295" customWidth="1"/>
    <col min="12805" max="12808" width="4.125" style="295" customWidth="1"/>
    <col min="12809" max="12809" width="1.25" style="295" customWidth="1"/>
    <col min="12810" max="12823" width="4.125" style="295" customWidth="1"/>
    <col min="12824" max="12824" width="2.625" style="295" customWidth="1"/>
    <col min="12825" max="13056" width="3.75" style="295" customWidth="1"/>
    <col min="13057" max="13057" width="2.5" style="295" customWidth="1"/>
    <col min="13058" max="13058" width="3" style="295" customWidth="1"/>
    <col min="13059" max="13060" width="2.25" style="295" customWidth="1"/>
    <col min="13061" max="13064" width="4.125" style="295" customWidth="1"/>
    <col min="13065" max="13065" width="1.25" style="295" customWidth="1"/>
    <col min="13066" max="13079" width="4.125" style="295" customWidth="1"/>
    <col min="13080" max="13080" width="2.625" style="295" customWidth="1"/>
    <col min="13081" max="13312" width="3.75" style="295" customWidth="1"/>
    <col min="13313" max="13313" width="2.5" style="295" customWidth="1"/>
    <col min="13314" max="13314" width="3" style="295" customWidth="1"/>
    <col min="13315" max="13316" width="2.25" style="295" customWidth="1"/>
    <col min="13317" max="13320" width="4.125" style="295" customWidth="1"/>
    <col min="13321" max="13321" width="1.25" style="295" customWidth="1"/>
    <col min="13322" max="13335" width="4.125" style="295" customWidth="1"/>
    <col min="13336" max="13336" width="2.625" style="295" customWidth="1"/>
    <col min="13337" max="13568" width="3.75" style="295" customWidth="1"/>
    <col min="13569" max="13569" width="2.5" style="295" customWidth="1"/>
    <col min="13570" max="13570" width="3" style="295" customWidth="1"/>
    <col min="13571" max="13572" width="2.25" style="295" customWidth="1"/>
    <col min="13573" max="13576" width="4.125" style="295" customWidth="1"/>
    <col min="13577" max="13577" width="1.25" style="295" customWidth="1"/>
    <col min="13578" max="13591" width="4.125" style="295" customWidth="1"/>
    <col min="13592" max="13592" width="2.625" style="295" customWidth="1"/>
    <col min="13593" max="13824" width="3.75" style="295" customWidth="1"/>
    <col min="13825" max="13825" width="2.5" style="295" customWidth="1"/>
    <col min="13826" max="13826" width="3" style="295" customWidth="1"/>
    <col min="13827" max="13828" width="2.25" style="295" customWidth="1"/>
    <col min="13829" max="13832" width="4.125" style="295" customWidth="1"/>
    <col min="13833" max="13833" width="1.25" style="295" customWidth="1"/>
    <col min="13834" max="13847" width="4.125" style="295" customWidth="1"/>
    <col min="13848" max="13848" width="2.625" style="295" customWidth="1"/>
    <col min="13849" max="14080" width="3.75" style="295" customWidth="1"/>
    <col min="14081" max="14081" width="2.5" style="295" customWidth="1"/>
    <col min="14082" max="14082" width="3" style="295" customWidth="1"/>
    <col min="14083" max="14084" width="2.25" style="295" customWidth="1"/>
    <col min="14085" max="14088" width="4.125" style="295" customWidth="1"/>
    <col min="14089" max="14089" width="1.25" style="295" customWidth="1"/>
    <col min="14090" max="14103" width="4.125" style="295" customWidth="1"/>
    <col min="14104" max="14104" width="2.625" style="295" customWidth="1"/>
    <col min="14105" max="14336" width="3.75" style="295" customWidth="1"/>
    <col min="14337" max="14337" width="2.5" style="295" customWidth="1"/>
    <col min="14338" max="14338" width="3" style="295" customWidth="1"/>
    <col min="14339" max="14340" width="2.25" style="295" customWidth="1"/>
    <col min="14341" max="14344" width="4.125" style="295" customWidth="1"/>
    <col min="14345" max="14345" width="1.25" style="295" customWidth="1"/>
    <col min="14346" max="14359" width="4.125" style="295" customWidth="1"/>
    <col min="14360" max="14360" width="2.625" style="295" customWidth="1"/>
    <col min="14361" max="14592" width="3.75" style="295" customWidth="1"/>
    <col min="14593" max="14593" width="2.5" style="295" customWidth="1"/>
    <col min="14594" max="14594" width="3" style="295" customWidth="1"/>
    <col min="14595" max="14596" width="2.25" style="295" customWidth="1"/>
    <col min="14597" max="14600" width="4.125" style="295" customWidth="1"/>
    <col min="14601" max="14601" width="1.25" style="295" customWidth="1"/>
    <col min="14602" max="14615" width="4.125" style="295" customWidth="1"/>
    <col min="14616" max="14616" width="2.625" style="295" customWidth="1"/>
    <col min="14617" max="14848" width="3.75" style="295" customWidth="1"/>
    <col min="14849" max="14849" width="2.5" style="295" customWidth="1"/>
    <col min="14850" max="14850" width="3" style="295" customWidth="1"/>
    <col min="14851" max="14852" width="2.25" style="295" customWidth="1"/>
    <col min="14853" max="14856" width="4.125" style="295" customWidth="1"/>
    <col min="14857" max="14857" width="1.25" style="295" customWidth="1"/>
    <col min="14858" max="14871" width="4.125" style="295" customWidth="1"/>
    <col min="14872" max="14872" width="2.625" style="295" customWidth="1"/>
    <col min="14873" max="15104" width="3.75" style="295" customWidth="1"/>
    <col min="15105" max="15105" width="2.5" style="295" customWidth="1"/>
    <col min="15106" max="15106" width="3" style="295" customWidth="1"/>
    <col min="15107" max="15108" width="2.25" style="295" customWidth="1"/>
    <col min="15109" max="15112" width="4.125" style="295" customWidth="1"/>
    <col min="15113" max="15113" width="1.25" style="295" customWidth="1"/>
    <col min="15114" max="15127" width="4.125" style="295" customWidth="1"/>
    <col min="15128" max="15128" width="2.625" style="295" customWidth="1"/>
    <col min="15129" max="15360" width="3.75" style="295" customWidth="1"/>
    <col min="15361" max="15361" width="2.5" style="295" customWidth="1"/>
    <col min="15362" max="15362" width="3" style="295" customWidth="1"/>
    <col min="15363" max="15364" width="2.25" style="295" customWidth="1"/>
    <col min="15365" max="15368" width="4.125" style="295" customWidth="1"/>
    <col min="15369" max="15369" width="1.25" style="295" customWidth="1"/>
    <col min="15370" max="15383" width="4.125" style="295" customWidth="1"/>
    <col min="15384" max="15384" width="2.625" style="295" customWidth="1"/>
    <col min="15385" max="15616" width="3.75" style="295" customWidth="1"/>
    <col min="15617" max="15617" width="2.5" style="295" customWidth="1"/>
    <col min="15618" max="15618" width="3" style="295" customWidth="1"/>
    <col min="15619" max="15620" width="2.25" style="295" customWidth="1"/>
    <col min="15621" max="15624" width="4.125" style="295" customWidth="1"/>
    <col min="15625" max="15625" width="1.25" style="295" customWidth="1"/>
    <col min="15626" max="15639" width="4.125" style="295" customWidth="1"/>
    <col min="15640" max="15640" width="2.625" style="295" customWidth="1"/>
    <col min="15641" max="15872" width="3.75" style="295" customWidth="1"/>
    <col min="15873" max="15873" width="2.5" style="295" customWidth="1"/>
    <col min="15874" max="15874" width="3" style="295" customWidth="1"/>
    <col min="15875" max="15876" width="2.25" style="295" customWidth="1"/>
    <col min="15877" max="15880" width="4.125" style="295" customWidth="1"/>
    <col min="15881" max="15881" width="1.25" style="295" customWidth="1"/>
    <col min="15882" max="15895" width="4.125" style="295" customWidth="1"/>
    <col min="15896" max="15896" width="2.625" style="295" customWidth="1"/>
    <col min="15897" max="16128" width="3.75" style="295" customWidth="1"/>
    <col min="16129" max="16129" width="2.5" style="295" customWidth="1"/>
    <col min="16130" max="16130" width="3" style="295" customWidth="1"/>
    <col min="16131" max="16132" width="2.25" style="295" customWidth="1"/>
    <col min="16133" max="16136" width="4.125" style="295" customWidth="1"/>
    <col min="16137" max="16137" width="1.25" style="295" customWidth="1"/>
    <col min="16138" max="16151" width="4.125" style="295" customWidth="1"/>
    <col min="16152" max="16152" width="2.625" style="295" customWidth="1"/>
    <col min="16153" max="16384" width="3.75" style="295" customWidth="1"/>
  </cols>
  <sheetData>
    <row r="1" spans="1:24" ht="17.25" customHeight="1">
      <c r="A1" s="298" t="s">
        <v>2833</v>
      </c>
    </row>
    <row r="2" spans="1:24" ht="17.25" customHeight="1">
      <c r="A2" s="813" t="s">
        <v>3043</v>
      </c>
      <c r="B2" s="813"/>
      <c r="C2" s="813"/>
      <c r="D2" s="813"/>
      <c r="E2" s="813"/>
      <c r="F2" s="813"/>
      <c r="G2" s="813"/>
      <c r="H2" s="813"/>
      <c r="I2" s="813"/>
      <c r="J2" s="813"/>
      <c r="K2" s="813"/>
      <c r="L2" s="813"/>
      <c r="M2" s="813"/>
      <c r="N2" s="813"/>
      <c r="O2" s="813"/>
      <c r="P2" s="813"/>
      <c r="Q2" s="813"/>
      <c r="R2" s="813"/>
      <c r="S2" s="813"/>
      <c r="T2" s="813"/>
      <c r="U2" s="813"/>
      <c r="V2" s="813"/>
      <c r="W2" s="813"/>
      <c r="X2" s="813"/>
    </row>
    <row r="3" spans="1:24" ht="19.5" customHeight="1"/>
    <row r="4" spans="1:24" ht="17.25" customHeight="1">
      <c r="Q4" s="451"/>
      <c r="R4" s="817"/>
      <c r="S4" s="817"/>
      <c r="T4" s="451" t="s">
        <v>464</v>
      </c>
      <c r="U4" s="464"/>
      <c r="V4" s="451" t="s">
        <v>1</v>
      </c>
      <c r="W4" s="464"/>
      <c r="X4" s="451" t="s">
        <v>465</v>
      </c>
    </row>
    <row r="5" spans="1:24" ht="20.25" customHeight="1"/>
    <row r="6" spans="1:24" ht="17.25" customHeight="1">
      <c r="C6" s="405" t="str">
        <f ca="1">cst_Pre_Corp__SHINSEI</f>
        <v>一般財団法人静岡県建築住宅まちづくりセンター</v>
      </c>
    </row>
    <row r="7" spans="1:24" ht="17.25" customHeight="1">
      <c r="C7" s="405" t="str">
        <f ca="1">cst_Pre_Daihyou__SHINSEI</f>
        <v>理事長 　柳　敏幸</v>
      </c>
      <c r="J7" s="295" t="s">
        <v>2796</v>
      </c>
    </row>
    <row r="8" spans="1:24" ht="9" customHeight="1"/>
    <row r="9" spans="1:24" ht="17.25" customHeight="1">
      <c r="P9" s="294" t="s">
        <v>3041</v>
      </c>
      <c r="Q9" s="785" t="str">
        <f>cst_wskakunin_owner1__address</f>
        <v>静岡県静岡市葵区新伝馬二丁目8-41-101</v>
      </c>
      <c r="R9" s="785"/>
      <c r="S9" s="785"/>
      <c r="T9" s="785"/>
      <c r="U9" s="785"/>
      <c r="V9" s="785"/>
      <c r="W9" s="785"/>
      <c r="X9" s="785"/>
    </row>
    <row r="10" spans="1:24" ht="17.25" customHeight="1">
      <c r="N10" s="295" t="s">
        <v>2832</v>
      </c>
      <c r="Q10" s="785"/>
      <c r="R10" s="785"/>
      <c r="S10" s="785"/>
      <c r="T10" s="785"/>
      <c r="U10" s="785"/>
      <c r="V10" s="785"/>
      <c r="W10" s="785"/>
      <c r="X10" s="785"/>
    </row>
    <row r="11" spans="1:24" ht="17.25" customHeight="1">
      <c r="P11" s="294" t="s">
        <v>3042</v>
      </c>
      <c r="Q11" s="785" t="str">
        <f>cst_wskakunin_owner1__space3</f>
        <v>菅野　幸子</v>
      </c>
      <c r="R11" s="785"/>
      <c r="S11" s="785"/>
      <c r="T11" s="785"/>
      <c r="U11" s="785"/>
      <c r="V11" s="785"/>
      <c r="W11" s="785"/>
      <c r="X11" s="785"/>
    </row>
    <row r="12" spans="1:24" ht="22.5" customHeight="1">
      <c r="Q12" s="785"/>
      <c r="R12" s="785"/>
      <c r="S12" s="785"/>
      <c r="T12" s="785"/>
      <c r="U12" s="785"/>
      <c r="V12" s="785"/>
      <c r="W12" s="785"/>
      <c r="X12" s="785"/>
    </row>
    <row r="13" spans="1:24" ht="17.25" customHeight="1">
      <c r="B13" s="818">
        <f>cst_shinsei_HIKIUKE_DATE</f>
        <v>45023</v>
      </c>
      <c r="C13" s="818"/>
      <c r="D13" s="451" t="s">
        <v>464</v>
      </c>
      <c r="E13" s="462">
        <f>cst_shinsei_HIKIUKE_DATE</f>
        <v>45023</v>
      </c>
      <c r="F13" s="451" t="s">
        <v>1</v>
      </c>
      <c r="G13" s="463">
        <f>cst_shinsei_HIKIUKE_DATE</f>
        <v>45023</v>
      </c>
      <c r="H13" s="451" t="s">
        <v>465</v>
      </c>
      <c r="I13" s="295" t="s">
        <v>3032</v>
      </c>
    </row>
    <row r="14" spans="1:24" ht="17.25" customHeight="1">
      <c r="B14" s="295" t="s">
        <v>3033</v>
      </c>
    </row>
    <row r="15" spans="1:24" ht="21.75" customHeight="1"/>
    <row r="16" spans="1:24" ht="39.75" customHeight="1">
      <c r="B16" s="299">
        <v>1</v>
      </c>
      <c r="C16" s="809" t="s">
        <v>2834</v>
      </c>
      <c r="D16" s="809"/>
      <c r="E16" s="809"/>
      <c r="F16" s="809"/>
      <c r="G16" s="809"/>
      <c r="H16" s="809"/>
      <c r="I16" s="300"/>
      <c r="J16" s="814" t="str">
        <f>cst_wskakunin_owner1__space</f>
        <v>菅野　幸子</v>
      </c>
      <c r="K16" s="815"/>
      <c r="L16" s="815"/>
      <c r="M16" s="815"/>
      <c r="N16" s="815"/>
      <c r="O16" s="815"/>
      <c r="P16" s="815"/>
      <c r="Q16" s="815"/>
      <c r="R16" s="815"/>
      <c r="S16" s="815"/>
      <c r="T16" s="815"/>
      <c r="U16" s="815"/>
      <c r="V16" s="815"/>
      <c r="W16" s="816"/>
    </row>
    <row r="17" spans="1:24" ht="39.75" customHeight="1">
      <c r="B17" s="301">
        <v>2</v>
      </c>
      <c r="C17" s="809" t="s">
        <v>2835</v>
      </c>
      <c r="D17" s="809"/>
      <c r="E17" s="809"/>
      <c r="F17" s="809"/>
      <c r="G17" s="809"/>
      <c r="H17" s="809"/>
      <c r="I17" s="302"/>
      <c r="J17" s="810" t="str">
        <f>IF(cst_shinsei_UKETUKE_NO="","第　　　　　　　号",cst_shinsei_UKETUKE_NO)</f>
        <v>第 2022確中建築静建住ま10505 号</v>
      </c>
      <c r="K17" s="811"/>
      <c r="L17" s="811"/>
      <c r="M17" s="811"/>
      <c r="N17" s="811"/>
      <c r="O17" s="811"/>
      <c r="P17" s="811"/>
      <c r="Q17" s="811"/>
      <c r="R17" s="811"/>
      <c r="S17" s="811"/>
      <c r="T17" s="811"/>
      <c r="U17" s="811"/>
      <c r="V17" s="811"/>
      <c r="W17" s="812"/>
    </row>
    <row r="18" spans="1:24" ht="39.75" customHeight="1">
      <c r="B18" s="301">
        <v>3</v>
      </c>
      <c r="C18" s="809" t="s">
        <v>2836</v>
      </c>
      <c r="D18" s="809"/>
      <c r="E18" s="809"/>
      <c r="F18" s="809"/>
      <c r="G18" s="809"/>
      <c r="H18" s="809"/>
      <c r="I18" s="302"/>
      <c r="J18" s="828">
        <f>cst_shinsei_HIKIUKE_DATE</f>
        <v>45023</v>
      </c>
      <c r="K18" s="829"/>
      <c r="L18" s="458" t="s">
        <v>464</v>
      </c>
      <c r="M18" s="460">
        <f>cst_shinsei_HIKIUKE_DATE</f>
        <v>45023</v>
      </c>
      <c r="N18" s="458" t="s">
        <v>1</v>
      </c>
      <c r="O18" s="461">
        <f>cst_shinsei_HIKIUKE_DATE</f>
        <v>45023</v>
      </c>
      <c r="P18" s="458" t="s">
        <v>465</v>
      </c>
      <c r="Q18" s="458"/>
      <c r="R18" s="458"/>
      <c r="S18" s="458"/>
      <c r="T18" s="458"/>
      <c r="U18" s="458"/>
      <c r="V18" s="458"/>
      <c r="W18" s="459"/>
    </row>
    <row r="19" spans="1:24" ht="39.75" customHeight="1">
      <c r="B19" s="301">
        <v>4</v>
      </c>
      <c r="C19" s="809" t="s">
        <v>2837</v>
      </c>
      <c r="D19" s="809"/>
      <c r="E19" s="809"/>
      <c r="F19" s="809"/>
      <c r="G19" s="809"/>
      <c r="H19" s="809"/>
      <c r="I19" s="302"/>
      <c r="J19" s="814" t="str">
        <f>cst_wskakunin_BUILD__address</f>
        <v>静岡県静岡市葵区平和二丁目215-8</v>
      </c>
      <c r="K19" s="815"/>
      <c r="L19" s="815"/>
      <c r="M19" s="815"/>
      <c r="N19" s="815"/>
      <c r="O19" s="815"/>
      <c r="P19" s="815"/>
      <c r="Q19" s="815"/>
      <c r="R19" s="815"/>
      <c r="S19" s="815"/>
      <c r="T19" s="815"/>
      <c r="U19" s="815"/>
      <c r="V19" s="815"/>
      <c r="W19" s="816"/>
    </row>
    <row r="20" spans="1:24" ht="91.5" customHeight="1" thickBot="1">
      <c r="B20" s="299">
        <v>5</v>
      </c>
      <c r="C20" s="824" t="s">
        <v>2838</v>
      </c>
      <c r="D20" s="824"/>
      <c r="E20" s="824"/>
      <c r="F20" s="824"/>
      <c r="G20" s="824"/>
      <c r="H20" s="824"/>
      <c r="I20" s="303"/>
      <c r="J20" s="825"/>
      <c r="K20" s="826"/>
      <c r="L20" s="826"/>
      <c r="M20" s="826"/>
      <c r="N20" s="826"/>
      <c r="O20" s="826"/>
      <c r="P20" s="826"/>
      <c r="Q20" s="826"/>
      <c r="R20" s="826"/>
      <c r="S20" s="826"/>
      <c r="T20" s="826"/>
      <c r="U20" s="826"/>
      <c r="V20" s="826"/>
      <c r="W20" s="827"/>
    </row>
    <row r="21" spans="1:24" ht="120" customHeight="1" thickTop="1">
      <c r="B21" s="819" t="s">
        <v>2839</v>
      </c>
      <c r="C21" s="820"/>
      <c r="D21" s="821"/>
      <c r="E21" s="822"/>
      <c r="F21" s="822"/>
      <c r="G21" s="822"/>
      <c r="H21" s="822"/>
      <c r="I21" s="822"/>
      <c r="J21" s="822"/>
      <c r="K21" s="822"/>
      <c r="L21" s="822"/>
      <c r="M21" s="823"/>
      <c r="N21" s="304" t="s">
        <v>2805</v>
      </c>
      <c r="O21" s="821"/>
      <c r="P21" s="822"/>
      <c r="Q21" s="822"/>
      <c r="R21" s="823"/>
      <c r="S21" s="304" t="s">
        <v>2806</v>
      </c>
      <c r="T21" s="821"/>
      <c r="U21" s="822"/>
      <c r="V21" s="822"/>
      <c r="W21" s="823"/>
    </row>
    <row r="22" spans="1:24" ht="19.5" customHeight="1"/>
    <row r="23" spans="1:24" ht="20.25" customHeight="1">
      <c r="A23" s="278" t="s">
        <v>484</v>
      </c>
      <c r="B23" s="278"/>
      <c r="C23" s="808" t="s">
        <v>3186</v>
      </c>
      <c r="D23" s="808"/>
      <c r="E23" s="808"/>
      <c r="F23" s="808"/>
      <c r="G23" s="808"/>
      <c r="H23" s="808"/>
      <c r="I23" s="808"/>
      <c r="J23" s="808"/>
      <c r="K23" s="808"/>
      <c r="L23" s="808"/>
      <c r="M23" s="808"/>
      <c r="N23" s="808"/>
      <c r="O23" s="808"/>
      <c r="P23" s="808"/>
      <c r="Q23" s="808"/>
      <c r="R23" s="808"/>
      <c r="S23" s="808"/>
      <c r="T23" s="808"/>
      <c r="U23" s="808"/>
      <c r="V23" s="808"/>
      <c r="W23" s="808"/>
      <c r="X23" s="808"/>
    </row>
    <row r="24" spans="1:24" ht="20.25" customHeight="1">
      <c r="A24" s="278"/>
      <c r="B24" s="278"/>
      <c r="C24" s="808" t="s">
        <v>3188</v>
      </c>
      <c r="D24" s="808"/>
      <c r="E24" s="808"/>
      <c r="F24" s="808"/>
      <c r="G24" s="808"/>
      <c r="H24" s="808"/>
      <c r="I24" s="808"/>
      <c r="J24" s="808"/>
      <c r="K24" s="808"/>
      <c r="L24" s="808"/>
      <c r="M24" s="808"/>
      <c r="N24" s="808"/>
      <c r="O24" s="808"/>
      <c r="P24" s="808"/>
      <c r="Q24" s="808"/>
      <c r="R24" s="808"/>
      <c r="S24" s="808"/>
      <c r="T24" s="808"/>
      <c r="U24" s="808"/>
      <c r="V24" s="808"/>
      <c r="W24" s="808"/>
      <c r="X24" s="808"/>
    </row>
    <row r="25" spans="1:24" ht="20.25" customHeight="1">
      <c r="A25" s="278"/>
      <c r="B25" s="278"/>
      <c r="C25" s="278" t="s">
        <v>3187</v>
      </c>
      <c r="D25" s="278"/>
      <c r="E25" s="278"/>
    </row>
    <row r="26" spans="1:24" ht="20.25" customHeight="1"/>
  </sheetData>
  <mergeCells count="21">
    <mergeCell ref="C19:H19"/>
    <mergeCell ref="J19:W19"/>
    <mergeCell ref="C20:H20"/>
    <mergeCell ref="J20:W20"/>
    <mergeCell ref="J18:K18"/>
    <mergeCell ref="C23:X23"/>
    <mergeCell ref="C24:X24"/>
    <mergeCell ref="C17:H17"/>
    <mergeCell ref="J17:W17"/>
    <mergeCell ref="A2:X2"/>
    <mergeCell ref="C16:H16"/>
    <mergeCell ref="J16:W16"/>
    <mergeCell ref="Q9:X10"/>
    <mergeCell ref="Q11:X12"/>
    <mergeCell ref="R4:S4"/>
    <mergeCell ref="B13:C13"/>
    <mergeCell ref="B21:C21"/>
    <mergeCell ref="D21:M21"/>
    <mergeCell ref="O21:R21"/>
    <mergeCell ref="T21:W21"/>
    <mergeCell ref="C18:H18"/>
  </mergeCells>
  <phoneticPr fontId="57"/>
  <printOptions horizontalCentered="1"/>
  <pageMargins left="0.39370078740157483" right="0.39370078740157483" top="0.6692913385826772"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zoomScale="75" zoomScaleNormal="75" zoomScaleSheetLayoutView="70" workbookViewId="0"/>
  </sheetViews>
  <sheetFormatPr defaultColWidth="3.75" defaultRowHeight="17.25" customHeight="1"/>
  <cols>
    <col min="1" max="1" width="2.5" style="295" customWidth="1"/>
    <col min="2" max="2" width="3" style="295" customWidth="1"/>
    <col min="3" max="4" width="2.25" style="295" customWidth="1"/>
    <col min="5" max="8" width="4.125" style="295" customWidth="1"/>
    <col min="9" max="9" width="1.25" style="295" customWidth="1"/>
    <col min="10" max="23" width="4.125" style="295" customWidth="1"/>
    <col min="24" max="24" width="2.625" style="295" customWidth="1"/>
    <col min="25" max="256" width="3.75" style="295" customWidth="1"/>
    <col min="257" max="257" width="2.5" style="295" customWidth="1"/>
    <col min="258" max="258" width="3" style="295" customWidth="1"/>
    <col min="259" max="260" width="2.25" style="295" customWidth="1"/>
    <col min="261" max="264" width="4.125" style="295" customWidth="1"/>
    <col min="265" max="265" width="1.25" style="295" customWidth="1"/>
    <col min="266" max="279" width="4.125" style="295" customWidth="1"/>
    <col min="280" max="280" width="2.625" style="295" customWidth="1"/>
    <col min="281" max="512" width="3.75" style="295" customWidth="1"/>
    <col min="513" max="513" width="2.5" style="295" customWidth="1"/>
    <col min="514" max="514" width="3" style="295" customWidth="1"/>
    <col min="515" max="516" width="2.25" style="295" customWidth="1"/>
    <col min="517" max="520" width="4.125" style="295" customWidth="1"/>
    <col min="521" max="521" width="1.25" style="295" customWidth="1"/>
    <col min="522" max="535" width="4.125" style="295" customWidth="1"/>
    <col min="536" max="536" width="2.625" style="295" customWidth="1"/>
    <col min="537" max="768" width="3.75" style="295" customWidth="1"/>
    <col min="769" max="769" width="2.5" style="295" customWidth="1"/>
    <col min="770" max="770" width="3" style="295" customWidth="1"/>
    <col min="771" max="772" width="2.25" style="295" customWidth="1"/>
    <col min="773" max="776" width="4.125" style="295" customWidth="1"/>
    <col min="777" max="777" width="1.25" style="295" customWidth="1"/>
    <col min="778" max="791" width="4.125" style="295" customWidth="1"/>
    <col min="792" max="792" width="2.625" style="295" customWidth="1"/>
    <col min="793" max="1024" width="3.75" style="295" customWidth="1"/>
    <col min="1025" max="1025" width="2.5" style="295" customWidth="1"/>
    <col min="1026" max="1026" width="3" style="295" customWidth="1"/>
    <col min="1027" max="1028" width="2.25" style="295" customWidth="1"/>
    <col min="1029" max="1032" width="4.125" style="295" customWidth="1"/>
    <col min="1033" max="1033" width="1.25" style="295" customWidth="1"/>
    <col min="1034" max="1047" width="4.125" style="295" customWidth="1"/>
    <col min="1048" max="1048" width="2.625" style="295" customWidth="1"/>
    <col min="1049" max="1280" width="3.75" style="295" customWidth="1"/>
    <col min="1281" max="1281" width="2.5" style="295" customWidth="1"/>
    <col min="1282" max="1282" width="3" style="295" customWidth="1"/>
    <col min="1283" max="1284" width="2.25" style="295" customWidth="1"/>
    <col min="1285" max="1288" width="4.125" style="295" customWidth="1"/>
    <col min="1289" max="1289" width="1.25" style="295" customWidth="1"/>
    <col min="1290" max="1303" width="4.125" style="295" customWidth="1"/>
    <col min="1304" max="1304" width="2.625" style="295" customWidth="1"/>
    <col min="1305" max="1536" width="3.75" style="295" customWidth="1"/>
    <col min="1537" max="1537" width="2.5" style="295" customWidth="1"/>
    <col min="1538" max="1538" width="3" style="295" customWidth="1"/>
    <col min="1539" max="1540" width="2.25" style="295" customWidth="1"/>
    <col min="1541" max="1544" width="4.125" style="295" customWidth="1"/>
    <col min="1545" max="1545" width="1.25" style="295" customWidth="1"/>
    <col min="1546" max="1559" width="4.125" style="295" customWidth="1"/>
    <col min="1560" max="1560" width="2.625" style="295" customWidth="1"/>
    <col min="1561" max="1792" width="3.75" style="295" customWidth="1"/>
    <col min="1793" max="1793" width="2.5" style="295" customWidth="1"/>
    <col min="1794" max="1794" width="3" style="295" customWidth="1"/>
    <col min="1795" max="1796" width="2.25" style="295" customWidth="1"/>
    <col min="1797" max="1800" width="4.125" style="295" customWidth="1"/>
    <col min="1801" max="1801" width="1.25" style="295" customWidth="1"/>
    <col min="1802" max="1815" width="4.125" style="295" customWidth="1"/>
    <col min="1816" max="1816" width="2.625" style="295" customWidth="1"/>
    <col min="1817" max="2048" width="3.75" style="295" customWidth="1"/>
    <col min="2049" max="2049" width="2.5" style="295" customWidth="1"/>
    <col min="2050" max="2050" width="3" style="295" customWidth="1"/>
    <col min="2051" max="2052" width="2.25" style="295" customWidth="1"/>
    <col min="2053" max="2056" width="4.125" style="295" customWidth="1"/>
    <col min="2057" max="2057" width="1.25" style="295" customWidth="1"/>
    <col min="2058" max="2071" width="4.125" style="295" customWidth="1"/>
    <col min="2072" max="2072" width="2.625" style="295" customWidth="1"/>
    <col min="2073" max="2304" width="3.75" style="295" customWidth="1"/>
    <col min="2305" max="2305" width="2.5" style="295" customWidth="1"/>
    <col min="2306" max="2306" width="3" style="295" customWidth="1"/>
    <col min="2307" max="2308" width="2.25" style="295" customWidth="1"/>
    <col min="2309" max="2312" width="4.125" style="295" customWidth="1"/>
    <col min="2313" max="2313" width="1.25" style="295" customWidth="1"/>
    <col min="2314" max="2327" width="4.125" style="295" customWidth="1"/>
    <col min="2328" max="2328" width="2.625" style="295" customWidth="1"/>
    <col min="2329" max="2560" width="3.75" style="295" customWidth="1"/>
    <col min="2561" max="2561" width="2.5" style="295" customWidth="1"/>
    <col min="2562" max="2562" width="3" style="295" customWidth="1"/>
    <col min="2563" max="2564" width="2.25" style="295" customWidth="1"/>
    <col min="2565" max="2568" width="4.125" style="295" customWidth="1"/>
    <col min="2569" max="2569" width="1.25" style="295" customWidth="1"/>
    <col min="2570" max="2583" width="4.125" style="295" customWidth="1"/>
    <col min="2584" max="2584" width="2.625" style="295" customWidth="1"/>
    <col min="2585" max="2816" width="3.75" style="295" customWidth="1"/>
    <col min="2817" max="2817" width="2.5" style="295" customWidth="1"/>
    <col min="2818" max="2818" width="3" style="295" customWidth="1"/>
    <col min="2819" max="2820" width="2.25" style="295" customWidth="1"/>
    <col min="2821" max="2824" width="4.125" style="295" customWidth="1"/>
    <col min="2825" max="2825" width="1.25" style="295" customWidth="1"/>
    <col min="2826" max="2839" width="4.125" style="295" customWidth="1"/>
    <col min="2840" max="2840" width="2.625" style="295" customWidth="1"/>
    <col min="2841" max="3072" width="3.75" style="295" customWidth="1"/>
    <col min="3073" max="3073" width="2.5" style="295" customWidth="1"/>
    <col min="3074" max="3074" width="3" style="295" customWidth="1"/>
    <col min="3075" max="3076" width="2.25" style="295" customWidth="1"/>
    <col min="3077" max="3080" width="4.125" style="295" customWidth="1"/>
    <col min="3081" max="3081" width="1.25" style="295" customWidth="1"/>
    <col min="3082" max="3095" width="4.125" style="295" customWidth="1"/>
    <col min="3096" max="3096" width="2.625" style="295" customWidth="1"/>
    <col min="3097" max="3328" width="3.75" style="295" customWidth="1"/>
    <col min="3329" max="3329" width="2.5" style="295" customWidth="1"/>
    <col min="3330" max="3330" width="3" style="295" customWidth="1"/>
    <col min="3331" max="3332" width="2.25" style="295" customWidth="1"/>
    <col min="3333" max="3336" width="4.125" style="295" customWidth="1"/>
    <col min="3337" max="3337" width="1.25" style="295" customWidth="1"/>
    <col min="3338" max="3351" width="4.125" style="295" customWidth="1"/>
    <col min="3352" max="3352" width="2.625" style="295" customWidth="1"/>
    <col min="3353" max="3584" width="3.75" style="295" customWidth="1"/>
    <col min="3585" max="3585" width="2.5" style="295" customWidth="1"/>
    <col min="3586" max="3586" width="3" style="295" customWidth="1"/>
    <col min="3587" max="3588" width="2.25" style="295" customWidth="1"/>
    <col min="3589" max="3592" width="4.125" style="295" customWidth="1"/>
    <col min="3593" max="3593" width="1.25" style="295" customWidth="1"/>
    <col min="3594" max="3607" width="4.125" style="295" customWidth="1"/>
    <col min="3608" max="3608" width="2.625" style="295" customWidth="1"/>
    <col min="3609" max="3840" width="3.75" style="295" customWidth="1"/>
    <col min="3841" max="3841" width="2.5" style="295" customWidth="1"/>
    <col min="3842" max="3842" width="3" style="295" customWidth="1"/>
    <col min="3843" max="3844" width="2.25" style="295" customWidth="1"/>
    <col min="3845" max="3848" width="4.125" style="295" customWidth="1"/>
    <col min="3849" max="3849" width="1.25" style="295" customWidth="1"/>
    <col min="3850" max="3863" width="4.125" style="295" customWidth="1"/>
    <col min="3864" max="3864" width="2.625" style="295" customWidth="1"/>
    <col min="3865" max="4096" width="3.75" style="295" customWidth="1"/>
    <col min="4097" max="4097" width="2.5" style="295" customWidth="1"/>
    <col min="4098" max="4098" width="3" style="295" customWidth="1"/>
    <col min="4099" max="4100" width="2.25" style="295" customWidth="1"/>
    <col min="4101" max="4104" width="4.125" style="295" customWidth="1"/>
    <col min="4105" max="4105" width="1.25" style="295" customWidth="1"/>
    <col min="4106" max="4119" width="4.125" style="295" customWidth="1"/>
    <col min="4120" max="4120" width="2.625" style="295" customWidth="1"/>
    <col min="4121" max="4352" width="3.75" style="295" customWidth="1"/>
    <col min="4353" max="4353" width="2.5" style="295" customWidth="1"/>
    <col min="4354" max="4354" width="3" style="295" customWidth="1"/>
    <col min="4355" max="4356" width="2.25" style="295" customWidth="1"/>
    <col min="4357" max="4360" width="4.125" style="295" customWidth="1"/>
    <col min="4361" max="4361" width="1.25" style="295" customWidth="1"/>
    <col min="4362" max="4375" width="4.125" style="295" customWidth="1"/>
    <col min="4376" max="4376" width="2.625" style="295" customWidth="1"/>
    <col min="4377" max="4608" width="3.75" style="295" customWidth="1"/>
    <col min="4609" max="4609" width="2.5" style="295" customWidth="1"/>
    <col min="4610" max="4610" width="3" style="295" customWidth="1"/>
    <col min="4611" max="4612" width="2.25" style="295" customWidth="1"/>
    <col min="4613" max="4616" width="4.125" style="295" customWidth="1"/>
    <col min="4617" max="4617" width="1.25" style="295" customWidth="1"/>
    <col min="4618" max="4631" width="4.125" style="295" customWidth="1"/>
    <col min="4632" max="4632" width="2.625" style="295" customWidth="1"/>
    <col min="4633" max="4864" width="3.75" style="295" customWidth="1"/>
    <col min="4865" max="4865" width="2.5" style="295" customWidth="1"/>
    <col min="4866" max="4866" width="3" style="295" customWidth="1"/>
    <col min="4867" max="4868" width="2.25" style="295" customWidth="1"/>
    <col min="4869" max="4872" width="4.125" style="295" customWidth="1"/>
    <col min="4873" max="4873" width="1.25" style="295" customWidth="1"/>
    <col min="4874" max="4887" width="4.125" style="295" customWidth="1"/>
    <col min="4888" max="4888" width="2.625" style="295" customWidth="1"/>
    <col min="4889" max="5120" width="3.75" style="295" customWidth="1"/>
    <col min="5121" max="5121" width="2.5" style="295" customWidth="1"/>
    <col min="5122" max="5122" width="3" style="295" customWidth="1"/>
    <col min="5123" max="5124" width="2.25" style="295" customWidth="1"/>
    <col min="5125" max="5128" width="4.125" style="295" customWidth="1"/>
    <col min="5129" max="5129" width="1.25" style="295" customWidth="1"/>
    <col min="5130" max="5143" width="4.125" style="295" customWidth="1"/>
    <col min="5144" max="5144" width="2.625" style="295" customWidth="1"/>
    <col min="5145" max="5376" width="3.75" style="295" customWidth="1"/>
    <col min="5377" max="5377" width="2.5" style="295" customWidth="1"/>
    <col min="5378" max="5378" width="3" style="295" customWidth="1"/>
    <col min="5379" max="5380" width="2.25" style="295" customWidth="1"/>
    <col min="5381" max="5384" width="4.125" style="295" customWidth="1"/>
    <col min="5385" max="5385" width="1.25" style="295" customWidth="1"/>
    <col min="5386" max="5399" width="4.125" style="295" customWidth="1"/>
    <col min="5400" max="5400" width="2.625" style="295" customWidth="1"/>
    <col min="5401" max="5632" width="3.75" style="295" customWidth="1"/>
    <col min="5633" max="5633" width="2.5" style="295" customWidth="1"/>
    <col min="5634" max="5634" width="3" style="295" customWidth="1"/>
    <col min="5635" max="5636" width="2.25" style="295" customWidth="1"/>
    <col min="5637" max="5640" width="4.125" style="295" customWidth="1"/>
    <col min="5641" max="5641" width="1.25" style="295" customWidth="1"/>
    <col min="5642" max="5655" width="4.125" style="295" customWidth="1"/>
    <col min="5656" max="5656" width="2.625" style="295" customWidth="1"/>
    <col min="5657" max="5888" width="3.75" style="295" customWidth="1"/>
    <col min="5889" max="5889" width="2.5" style="295" customWidth="1"/>
    <col min="5890" max="5890" width="3" style="295" customWidth="1"/>
    <col min="5891" max="5892" width="2.25" style="295" customWidth="1"/>
    <col min="5893" max="5896" width="4.125" style="295" customWidth="1"/>
    <col min="5897" max="5897" width="1.25" style="295" customWidth="1"/>
    <col min="5898" max="5911" width="4.125" style="295" customWidth="1"/>
    <col min="5912" max="5912" width="2.625" style="295" customWidth="1"/>
    <col min="5913" max="6144" width="3.75" style="295" customWidth="1"/>
    <col min="6145" max="6145" width="2.5" style="295" customWidth="1"/>
    <col min="6146" max="6146" width="3" style="295" customWidth="1"/>
    <col min="6147" max="6148" width="2.25" style="295" customWidth="1"/>
    <col min="6149" max="6152" width="4.125" style="295" customWidth="1"/>
    <col min="6153" max="6153" width="1.25" style="295" customWidth="1"/>
    <col min="6154" max="6167" width="4.125" style="295" customWidth="1"/>
    <col min="6168" max="6168" width="2.625" style="295" customWidth="1"/>
    <col min="6169" max="6400" width="3.75" style="295" customWidth="1"/>
    <col min="6401" max="6401" width="2.5" style="295" customWidth="1"/>
    <col min="6402" max="6402" width="3" style="295" customWidth="1"/>
    <col min="6403" max="6404" width="2.25" style="295" customWidth="1"/>
    <col min="6405" max="6408" width="4.125" style="295" customWidth="1"/>
    <col min="6409" max="6409" width="1.25" style="295" customWidth="1"/>
    <col min="6410" max="6423" width="4.125" style="295" customWidth="1"/>
    <col min="6424" max="6424" width="2.625" style="295" customWidth="1"/>
    <col min="6425" max="6656" width="3.75" style="295" customWidth="1"/>
    <col min="6657" max="6657" width="2.5" style="295" customWidth="1"/>
    <col min="6658" max="6658" width="3" style="295" customWidth="1"/>
    <col min="6659" max="6660" width="2.25" style="295" customWidth="1"/>
    <col min="6661" max="6664" width="4.125" style="295" customWidth="1"/>
    <col min="6665" max="6665" width="1.25" style="295" customWidth="1"/>
    <col min="6666" max="6679" width="4.125" style="295" customWidth="1"/>
    <col min="6680" max="6680" width="2.625" style="295" customWidth="1"/>
    <col min="6681" max="6912" width="3.75" style="295" customWidth="1"/>
    <col min="6913" max="6913" width="2.5" style="295" customWidth="1"/>
    <col min="6914" max="6914" width="3" style="295" customWidth="1"/>
    <col min="6915" max="6916" width="2.25" style="295" customWidth="1"/>
    <col min="6917" max="6920" width="4.125" style="295" customWidth="1"/>
    <col min="6921" max="6921" width="1.25" style="295" customWidth="1"/>
    <col min="6922" max="6935" width="4.125" style="295" customWidth="1"/>
    <col min="6936" max="6936" width="2.625" style="295" customWidth="1"/>
    <col min="6937" max="7168" width="3.75" style="295" customWidth="1"/>
    <col min="7169" max="7169" width="2.5" style="295" customWidth="1"/>
    <col min="7170" max="7170" width="3" style="295" customWidth="1"/>
    <col min="7171" max="7172" width="2.25" style="295" customWidth="1"/>
    <col min="7173" max="7176" width="4.125" style="295" customWidth="1"/>
    <col min="7177" max="7177" width="1.25" style="295" customWidth="1"/>
    <col min="7178" max="7191" width="4.125" style="295" customWidth="1"/>
    <col min="7192" max="7192" width="2.625" style="295" customWidth="1"/>
    <col min="7193" max="7424" width="3.75" style="295" customWidth="1"/>
    <col min="7425" max="7425" width="2.5" style="295" customWidth="1"/>
    <col min="7426" max="7426" width="3" style="295" customWidth="1"/>
    <col min="7427" max="7428" width="2.25" style="295" customWidth="1"/>
    <col min="7429" max="7432" width="4.125" style="295" customWidth="1"/>
    <col min="7433" max="7433" width="1.25" style="295" customWidth="1"/>
    <col min="7434" max="7447" width="4.125" style="295" customWidth="1"/>
    <col min="7448" max="7448" width="2.625" style="295" customWidth="1"/>
    <col min="7449" max="7680" width="3.75" style="295" customWidth="1"/>
    <col min="7681" max="7681" width="2.5" style="295" customWidth="1"/>
    <col min="7682" max="7682" width="3" style="295" customWidth="1"/>
    <col min="7683" max="7684" width="2.25" style="295" customWidth="1"/>
    <col min="7685" max="7688" width="4.125" style="295" customWidth="1"/>
    <col min="7689" max="7689" width="1.25" style="295" customWidth="1"/>
    <col min="7690" max="7703" width="4.125" style="295" customWidth="1"/>
    <col min="7704" max="7704" width="2.625" style="295" customWidth="1"/>
    <col min="7705" max="7936" width="3.75" style="295" customWidth="1"/>
    <col min="7937" max="7937" width="2.5" style="295" customWidth="1"/>
    <col min="7938" max="7938" width="3" style="295" customWidth="1"/>
    <col min="7939" max="7940" width="2.25" style="295" customWidth="1"/>
    <col min="7941" max="7944" width="4.125" style="295" customWidth="1"/>
    <col min="7945" max="7945" width="1.25" style="295" customWidth="1"/>
    <col min="7946" max="7959" width="4.125" style="295" customWidth="1"/>
    <col min="7960" max="7960" width="2.625" style="295" customWidth="1"/>
    <col min="7961" max="8192" width="3.75" style="295" customWidth="1"/>
    <col min="8193" max="8193" width="2.5" style="295" customWidth="1"/>
    <col min="8194" max="8194" width="3" style="295" customWidth="1"/>
    <col min="8195" max="8196" width="2.25" style="295" customWidth="1"/>
    <col min="8197" max="8200" width="4.125" style="295" customWidth="1"/>
    <col min="8201" max="8201" width="1.25" style="295" customWidth="1"/>
    <col min="8202" max="8215" width="4.125" style="295" customWidth="1"/>
    <col min="8216" max="8216" width="2.625" style="295" customWidth="1"/>
    <col min="8217" max="8448" width="3.75" style="295" customWidth="1"/>
    <col min="8449" max="8449" width="2.5" style="295" customWidth="1"/>
    <col min="8450" max="8450" width="3" style="295" customWidth="1"/>
    <col min="8451" max="8452" width="2.25" style="295" customWidth="1"/>
    <col min="8453" max="8456" width="4.125" style="295" customWidth="1"/>
    <col min="8457" max="8457" width="1.25" style="295" customWidth="1"/>
    <col min="8458" max="8471" width="4.125" style="295" customWidth="1"/>
    <col min="8472" max="8472" width="2.625" style="295" customWidth="1"/>
    <col min="8473" max="8704" width="3.75" style="295" customWidth="1"/>
    <col min="8705" max="8705" width="2.5" style="295" customWidth="1"/>
    <col min="8706" max="8706" width="3" style="295" customWidth="1"/>
    <col min="8707" max="8708" width="2.25" style="295" customWidth="1"/>
    <col min="8709" max="8712" width="4.125" style="295" customWidth="1"/>
    <col min="8713" max="8713" width="1.25" style="295" customWidth="1"/>
    <col min="8714" max="8727" width="4.125" style="295" customWidth="1"/>
    <col min="8728" max="8728" width="2.625" style="295" customWidth="1"/>
    <col min="8729" max="8960" width="3.75" style="295" customWidth="1"/>
    <col min="8961" max="8961" width="2.5" style="295" customWidth="1"/>
    <col min="8962" max="8962" width="3" style="295" customWidth="1"/>
    <col min="8963" max="8964" width="2.25" style="295" customWidth="1"/>
    <col min="8965" max="8968" width="4.125" style="295" customWidth="1"/>
    <col min="8969" max="8969" width="1.25" style="295" customWidth="1"/>
    <col min="8970" max="8983" width="4.125" style="295" customWidth="1"/>
    <col min="8984" max="8984" width="2.625" style="295" customWidth="1"/>
    <col min="8985" max="9216" width="3.75" style="295" customWidth="1"/>
    <col min="9217" max="9217" width="2.5" style="295" customWidth="1"/>
    <col min="9218" max="9218" width="3" style="295" customWidth="1"/>
    <col min="9219" max="9220" width="2.25" style="295" customWidth="1"/>
    <col min="9221" max="9224" width="4.125" style="295" customWidth="1"/>
    <col min="9225" max="9225" width="1.25" style="295" customWidth="1"/>
    <col min="9226" max="9239" width="4.125" style="295" customWidth="1"/>
    <col min="9240" max="9240" width="2.625" style="295" customWidth="1"/>
    <col min="9241" max="9472" width="3.75" style="295" customWidth="1"/>
    <col min="9473" max="9473" width="2.5" style="295" customWidth="1"/>
    <col min="9474" max="9474" width="3" style="295" customWidth="1"/>
    <col min="9475" max="9476" width="2.25" style="295" customWidth="1"/>
    <col min="9477" max="9480" width="4.125" style="295" customWidth="1"/>
    <col min="9481" max="9481" width="1.25" style="295" customWidth="1"/>
    <col min="9482" max="9495" width="4.125" style="295" customWidth="1"/>
    <col min="9496" max="9496" width="2.625" style="295" customWidth="1"/>
    <col min="9497" max="9728" width="3.75" style="295" customWidth="1"/>
    <col min="9729" max="9729" width="2.5" style="295" customWidth="1"/>
    <col min="9730" max="9730" width="3" style="295" customWidth="1"/>
    <col min="9731" max="9732" width="2.25" style="295" customWidth="1"/>
    <col min="9733" max="9736" width="4.125" style="295" customWidth="1"/>
    <col min="9737" max="9737" width="1.25" style="295" customWidth="1"/>
    <col min="9738" max="9751" width="4.125" style="295" customWidth="1"/>
    <col min="9752" max="9752" width="2.625" style="295" customWidth="1"/>
    <col min="9753" max="9984" width="3.75" style="295" customWidth="1"/>
    <col min="9985" max="9985" width="2.5" style="295" customWidth="1"/>
    <col min="9986" max="9986" width="3" style="295" customWidth="1"/>
    <col min="9987" max="9988" width="2.25" style="295" customWidth="1"/>
    <col min="9989" max="9992" width="4.125" style="295" customWidth="1"/>
    <col min="9993" max="9993" width="1.25" style="295" customWidth="1"/>
    <col min="9994" max="10007" width="4.125" style="295" customWidth="1"/>
    <col min="10008" max="10008" width="2.625" style="295" customWidth="1"/>
    <col min="10009" max="10240" width="3.75" style="295" customWidth="1"/>
    <col min="10241" max="10241" width="2.5" style="295" customWidth="1"/>
    <col min="10242" max="10242" width="3" style="295" customWidth="1"/>
    <col min="10243" max="10244" width="2.25" style="295" customWidth="1"/>
    <col min="10245" max="10248" width="4.125" style="295" customWidth="1"/>
    <col min="10249" max="10249" width="1.25" style="295" customWidth="1"/>
    <col min="10250" max="10263" width="4.125" style="295" customWidth="1"/>
    <col min="10264" max="10264" width="2.625" style="295" customWidth="1"/>
    <col min="10265" max="10496" width="3.75" style="295" customWidth="1"/>
    <col min="10497" max="10497" width="2.5" style="295" customWidth="1"/>
    <col min="10498" max="10498" width="3" style="295" customWidth="1"/>
    <col min="10499" max="10500" width="2.25" style="295" customWidth="1"/>
    <col min="10501" max="10504" width="4.125" style="295" customWidth="1"/>
    <col min="10505" max="10505" width="1.25" style="295" customWidth="1"/>
    <col min="10506" max="10519" width="4.125" style="295" customWidth="1"/>
    <col min="10520" max="10520" width="2.625" style="295" customWidth="1"/>
    <col min="10521" max="10752" width="3.75" style="295" customWidth="1"/>
    <col min="10753" max="10753" width="2.5" style="295" customWidth="1"/>
    <col min="10754" max="10754" width="3" style="295" customWidth="1"/>
    <col min="10755" max="10756" width="2.25" style="295" customWidth="1"/>
    <col min="10757" max="10760" width="4.125" style="295" customWidth="1"/>
    <col min="10761" max="10761" width="1.25" style="295" customWidth="1"/>
    <col min="10762" max="10775" width="4.125" style="295" customWidth="1"/>
    <col min="10776" max="10776" width="2.625" style="295" customWidth="1"/>
    <col min="10777" max="11008" width="3.75" style="295" customWidth="1"/>
    <col min="11009" max="11009" width="2.5" style="295" customWidth="1"/>
    <col min="11010" max="11010" width="3" style="295" customWidth="1"/>
    <col min="11011" max="11012" width="2.25" style="295" customWidth="1"/>
    <col min="11013" max="11016" width="4.125" style="295" customWidth="1"/>
    <col min="11017" max="11017" width="1.25" style="295" customWidth="1"/>
    <col min="11018" max="11031" width="4.125" style="295" customWidth="1"/>
    <col min="11032" max="11032" width="2.625" style="295" customWidth="1"/>
    <col min="11033" max="11264" width="3.75" style="295" customWidth="1"/>
    <col min="11265" max="11265" width="2.5" style="295" customWidth="1"/>
    <col min="11266" max="11266" width="3" style="295" customWidth="1"/>
    <col min="11267" max="11268" width="2.25" style="295" customWidth="1"/>
    <col min="11269" max="11272" width="4.125" style="295" customWidth="1"/>
    <col min="11273" max="11273" width="1.25" style="295" customWidth="1"/>
    <col min="11274" max="11287" width="4.125" style="295" customWidth="1"/>
    <col min="11288" max="11288" width="2.625" style="295" customWidth="1"/>
    <col min="11289" max="11520" width="3.75" style="295" customWidth="1"/>
    <col min="11521" max="11521" width="2.5" style="295" customWidth="1"/>
    <col min="11522" max="11522" width="3" style="295" customWidth="1"/>
    <col min="11523" max="11524" width="2.25" style="295" customWidth="1"/>
    <col min="11525" max="11528" width="4.125" style="295" customWidth="1"/>
    <col min="11529" max="11529" width="1.25" style="295" customWidth="1"/>
    <col min="11530" max="11543" width="4.125" style="295" customWidth="1"/>
    <col min="11544" max="11544" width="2.625" style="295" customWidth="1"/>
    <col min="11545" max="11776" width="3.75" style="295" customWidth="1"/>
    <col min="11777" max="11777" width="2.5" style="295" customWidth="1"/>
    <col min="11778" max="11778" width="3" style="295" customWidth="1"/>
    <col min="11779" max="11780" width="2.25" style="295" customWidth="1"/>
    <col min="11781" max="11784" width="4.125" style="295" customWidth="1"/>
    <col min="11785" max="11785" width="1.25" style="295" customWidth="1"/>
    <col min="11786" max="11799" width="4.125" style="295" customWidth="1"/>
    <col min="11800" max="11800" width="2.625" style="295" customWidth="1"/>
    <col min="11801" max="12032" width="3.75" style="295" customWidth="1"/>
    <col min="12033" max="12033" width="2.5" style="295" customWidth="1"/>
    <col min="12034" max="12034" width="3" style="295" customWidth="1"/>
    <col min="12035" max="12036" width="2.25" style="295" customWidth="1"/>
    <col min="12037" max="12040" width="4.125" style="295" customWidth="1"/>
    <col min="12041" max="12041" width="1.25" style="295" customWidth="1"/>
    <col min="12042" max="12055" width="4.125" style="295" customWidth="1"/>
    <col min="12056" max="12056" width="2.625" style="295" customWidth="1"/>
    <col min="12057" max="12288" width="3.75" style="295" customWidth="1"/>
    <col min="12289" max="12289" width="2.5" style="295" customWidth="1"/>
    <col min="12290" max="12290" width="3" style="295" customWidth="1"/>
    <col min="12291" max="12292" width="2.25" style="295" customWidth="1"/>
    <col min="12293" max="12296" width="4.125" style="295" customWidth="1"/>
    <col min="12297" max="12297" width="1.25" style="295" customWidth="1"/>
    <col min="12298" max="12311" width="4.125" style="295" customWidth="1"/>
    <col min="12312" max="12312" width="2.625" style="295" customWidth="1"/>
    <col min="12313" max="12544" width="3.75" style="295" customWidth="1"/>
    <col min="12545" max="12545" width="2.5" style="295" customWidth="1"/>
    <col min="12546" max="12546" width="3" style="295" customWidth="1"/>
    <col min="12547" max="12548" width="2.25" style="295" customWidth="1"/>
    <col min="12549" max="12552" width="4.125" style="295" customWidth="1"/>
    <col min="12553" max="12553" width="1.25" style="295" customWidth="1"/>
    <col min="12554" max="12567" width="4.125" style="295" customWidth="1"/>
    <col min="12568" max="12568" width="2.625" style="295" customWidth="1"/>
    <col min="12569" max="12800" width="3.75" style="295" customWidth="1"/>
    <col min="12801" max="12801" width="2.5" style="295" customWidth="1"/>
    <col min="12802" max="12802" width="3" style="295" customWidth="1"/>
    <col min="12803" max="12804" width="2.25" style="295" customWidth="1"/>
    <col min="12805" max="12808" width="4.125" style="295" customWidth="1"/>
    <col min="12809" max="12809" width="1.25" style="295" customWidth="1"/>
    <col min="12810" max="12823" width="4.125" style="295" customWidth="1"/>
    <col min="12824" max="12824" width="2.625" style="295" customWidth="1"/>
    <col min="12825" max="13056" width="3.75" style="295" customWidth="1"/>
    <col min="13057" max="13057" width="2.5" style="295" customWidth="1"/>
    <col min="13058" max="13058" width="3" style="295" customWidth="1"/>
    <col min="13059" max="13060" width="2.25" style="295" customWidth="1"/>
    <col min="13061" max="13064" width="4.125" style="295" customWidth="1"/>
    <col min="13065" max="13065" width="1.25" style="295" customWidth="1"/>
    <col min="13066" max="13079" width="4.125" style="295" customWidth="1"/>
    <col min="13080" max="13080" width="2.625" style="295" customWidth="1"/>
    <col min="13081" max="13312" width="3.75" style="295" customWidth="1"/>
    <col min="13313" max="13313" width="2.5" style="295" customWidth="1"/>
    <col min="13314" max="13314" width="3" style="295" customWidth="1"/>
    <col min="13315" max="13316" width="2.25" style="295" customWidth="1"/>
    <col min="13317" max="13320" width="4.125" style="295" customWidth="1"/>
    <col min="13321" max="13321" width="1.25" style="295" customWidth="1"/>
    <col min="13322" max="13335" width="4.125" style="295" customWidth="1"/>
    <col min="13336" max="13336" width="2.625" style="295" customWidth="1"/>
    <col min="13337" max="13568" width="3.75" style="295" customWidth="1"/>
    <col min="13569" max="13569" width="2.5" style="295" customWidth="1"/>
    <col min="13570" max="13570" width="3" style="295" customWidth="1"/>
    <col min="13571" max="13572" width="2.25" style="295" customWidth="1"/>
    <col min="13573" max="13576" width="4.125" style="295" customWidth="1"/>
    <col min="13577" max="13577" width="1.25" style="295" customWidth="1"/>
    <col min="13578" max="13591" width="4.125" style="295" customWidth="1"/>
    <col min="13592" max="13592" width="2.625" style="295" customWidth="1"/>
    <col min="13593" max="13824" width="3.75" style="295" customWidth="1"/>
    <col min="13825" max="13825" width="2.5" style="295" customWidth="1"/>
    <col min="13826" max="13826" width="3" style="295" customWidth="1"/>
    <col min="13827" max="13828" width="2.25" style="295" customWidth="1"/>
    <col min="13829" max="13832" width="4.125" style="295" customWidth="1"/>
    <col min="13833" max="13833" width="1.25" style="295" customWidth="1"/>
    <col min="13834" max="13847" width="4.125" style="295" customWidth="1"/>
    <col min="13848" max="13848" width="2.625" style="295" customWidth="1"/>
    <col min="13849" max="14080" width="3.75" style="295" customWidth="1"/>
    <col min="14081" max="14081" width="2.5" style="295" customWidth="1"/>
    <col min="14082" max="14082" width="3" style="295" customWidth="1"/>
    <col min="14083" max="14084" width="2.25" style="295" customWidth="1"/>
    <col min="14085" max="14088" width="4.125" style="295" customWidth="1"/>
    <col min="14089" max="14089" width="1.25" style="295" customWidth="1"/>
    <col min="14090" max="14103" width="4.125" style="295" customWidth="1"/>
    <col min="14104" max="14104" width="2.625" style="295" customWidth="1"/>
    <col min="14105" max="14336" width="3.75" style="295" customWidth="1"/>
    <col min="14337" max="14337" width="2.5" style="295" customWidth="1"/>
    <col min="14338" max="14338" width="3" style="295" customWidth="1"/>
    <col min="14339" max="14340" width="2.25" style="295" customWidth="1"/>
    <col min="14341" max="14344" width="4.125" style="295" customWidth="1"/>
    <col min="14345" max="14345" width="1.25" style="295" customWidth="1"/>
    <col min="14346" max="14359" width="4.125" style="295" customWidth="1"/>
    <col min="14360" max="14360" width="2.625" style="295" customWidth="1"/>
    <col min="14361" max="14592" width="3.75" style="295" customWidth="1"/>
    <col min="14593" max="14593" width="2.5" style="295" customWidth="1"/>
    <col min="14594" max="14594" width="3" style="295" customWidth="1"/>
    <col min="14595" max="14596" width="2.25" style="295" customWidth="1"/>
    <col min="14597" max="14600" width="4.125" style="295" customWidth="1"/>
    <col min="14601" max="14601" width="1.25" style="295" customWidth="1"/>
    <col min="14602" max="14615" width="4.125" style="295" customWidth="1"/>
    <col min="14616" max="14616" width="2.625" style="295" customWidth="1"/>
    <col min="14617" max="14848" width="3.75" style="295" customWidth="1"/>
    <col min="14849" max="14849" width="2.5" style="295" customWidth="1"/>
    <col min="14850" max="14850" width="3" style="295" customWidth="1"/>
    <col min="14851" max="14852" width="2.25" style="295" customWidth="1"/>
    <col min="14853" max="14856" width="4.125" style="295" customWidth="1"/>
    <col min="14857" max="14857" width="1.25" style="295" customWidth="1"/>
    <col min="14858" max="14871" width="4.125" style="295" customWidth="1"/>
    <col min="14872" max="14872" width="2.625" style="295" customWidth="1"/>
    <col min="14873" max="15104" width="3.75" style="295" customWidth="1"/>
    <col min="15105" max="15105" width="2.5" style="295" customWidth="1"/>
    <col min="15106" max="15106" width="3" style="295" customWidth="1"/>
    <col min="15107" max="15108" width="2.25" style="295" customWidth="1"/>
    <col min="15109" max="15112" width="4.125" style="295" customWidth="1"/>
    <col min="15113" max="15113" width="1.25" style="295" customWidth="1"/>
    <col min="15114" max="15127" width="4.125" style="295" customWidth="1"/>
    <col min="15128" max="15128" width="2.625" style="295" customWidth="1"/>
    <col min="15129" max="15360" width="3.75" style="295" customWidth="1"/>
    <col min="15361" max="15361" width="2.5" style="295" customWidth="1"/>
    <col min="15362" max="15362" width="3" style="295" customWidth="1"/>
    <col min="15363" max="15364" width="2.25" style="295" customWidth="1"/>
    <col min="15365" max="15368" width="4.125" style="295" customWidth="1"/>
    <col min="15369" max="15369" width="1.25" style="295" customWidth="1"/>
    <col min="15370" max="15383" width="4.125" style="295" customWidth="1"/>
    <col min="15384" max="15384" width="2.625" style="295" customWidth="1"/>
    <col min="15385" max="15616" width="3.75" style="295" customWidth="1"/>
    <col min="15617" max="15617" width="2.5" style="295" customWidth="1"/>
    <col min="15618" max="15618" width="3" style="295" customWidth="1"/>
    <col min="15619" max="15620" width="2.25" style="295" customWidth="1"/>
    <col min="15621" max="15624" width="4.125" style="295" customWidth="1"/>
    <col min="15625" max="15625" width="1.25" style="295" customWidth="1"/>
    <col min="15626" max="15639" width="4.125" style="295" customWidth="1"/>
    <col min="15640" max="15640" width="2.625" style="295" customWidth="1"/>
    <col min="15641" max="15872" width="3.75" style="295" customWidth="1"/>
    <col min="15873" max="15873" width="2.5" style="295" customWidth="1"/>
    <col min="15874" max="15874" width="3" style="295" customWidth="1"/>
    <col min="15875" max="15876" width="2.25" style="295" customWidth="1"/>
    <col min="15877" max="15880" width="4.125" style="295" customWidth="1"/>
    <col min="15881" max="15881" width="1.25" style="295" customWidth="1"/>
    <col min="15882" max="15895" width="4.125" style="295" customWidth="1"/>
    <col min="15896" max="15896" width="2.625" style="295" customWidth="1"/>
    <col min="15897" max="16128" width="3.75" style="295" customWidth="1"/>
    <col min="16129" max="16129" width="2.5" style="295" customWidth="1"/>
    <col min="16130" max="16130" width="3" style="295" customWidth="1"/>
    <col min="16131" max="16132" width="2.25" style="295" customWidth="1"/>
    <col min="16133" max="16136" width="4.125" style="295" customWidth="1"/>
    <col min="16137" max="16137" width="1.25" style="295" customWidth="1"/>
    <col min="16138" max="16151" width="4.125" style="295" customWidth="1"/>
    <col min="16152" max="16152" width="2.625" style="295" customWidth="1"/>
    <col min="16153" max="16384" width="3.75" style="295" customWidth="1"/>
  </cols>
  <sheetData>
    <row r="1" spans="1:24" ht="17.25" customHeight="1">
      <c r="A1" s="298" t="s">
        <v>2840</v>
      </c>
    </row>
    <row r="2" spans="1:24" ht="17.25" customHeight="1">
      <c r="A2" s="813" t="s">
        <v>3044</v>
      </c>
      <c r="B2" s="813"/>
      <c r="C2" s="813"/>
      <c r="D2" s="813"/>
      <c r="E2" s="813"/>
      <c r="F2" s="813"/>
      <c r="G2" s="813"/>
      <c r="H2" s="813"/>
      <c r="I2" s="813"/>
      <c r="J2" s="813"/>
      <c r="K2" s="813"/>
      <c r="L2" s="813"/>
      <c r="M2" s="813"/>
      <c r="N2" s="813"/>
      <c r="O2" s="813"/>
      <c r="P2" s="813"/>
      <c r="Q2" s="813"/>
      <c r="R2" s="813"/>
      <c r="S2" s="813"/>
      <c r="T2" s="813"/>
      <c r="U2" s="813"/>
      <c r="V2" s="813"/>
      <c r="W2" s="813"/>
      <c r="X2" s="813"/>
    </row>
    <row r="3" spans="1:24" ht="19.5" customHeight="1"/>
    <row r="4" spans="1:24" ht="17.25" customHeight="1">
      <c r="Q4" s="451"/>
      <c r="R4" s="817"/>
      <c r="S4" s="817"/>
      <c r="T4" s="451" t="s">
        <v>464</v>
      </c>
      <c r="U4" s="464"/>
      <c r="V4" s="451" t="s">
        <v>1</v>
      </c>
      <c r="W4" s="464"/>
      <c r="X4" s="451" t="s">
        <v>465</v>
      </c>
    </row>
    <row r="5" spans="1:24" ht="20.25" customHeight="1"/>
    <row r="6" spans="1:24" ht="17.25" customHeight="1">
      <c r="C6" s="405" t="str">
        <f ca="1">cst_Pre_Corp__SHINSEI</f>
        <v>一般財団法人静岡県建築住宅まちづくりセンター</v>
      </c>
    </row>
    <row r="7" spans="1:24" ht="17.25" customHeight="1">
      <c r="C7" s="405" t="str">
        <f ca="1">cst_Pre_Daihyou__SHINSEI</f>
        <v>理事長 　柳　敏幸</v>
      </c>
      <c r="J7" s="295" t="s">
        <v>2796</v>
      </c>
    </row>
    <row r="8" spans="1:24" ht="9" customHeight="1"/>
    <row r="9" spans="1:24" ht="17.25" customHeight="1">
      <c r="P9" s="294" t="s">
        <v>3041</v>
      </c>
      <c r="Q9" s="785" t="str">
        <f>cst_wskakunin_owner1__address</f>
        <v>静岡県静岡市葵区新伝馬二丁目8-41-101</v>
      </c>
      <c r="R9" s="785"/>
      <c r="S9" s="785"/>
      <c r="T9" s="785"/>
      <c r="U9" s="785"/>
      <c r="V9" s="785"/>
      <c r="W9" s="785"/>
      <c r="X9" s="785"/>
    </row>
    <row r="10" spans="1:24" ht="17.25" customHeight="1">
      <c r="N10" s="295" t="s">
        <v>2832</v>
      </c>
      <c r="Q10" s="785"/>
      <c r="R10" s="785"/>
      <c r="S10" s="785"/>
      <c r="T10" s="785"/>
      <c r="U10" s="785"/>
      <c r="V10" s="785"/>
      <c r="W10" s="785"/>
      <c r="X10" s="785"/>
    </row>
    <row r="11" spans="1:24" ht="17.25" customHeight="1">
      <c r="P11" s="294" t="s">
        <v>3042</v>
      </c>
      <c r="Q11" s="785" t="str">
        <f>cst_wskakunin_owner1__space3</f>
        <v>菅野　幸子</v>
      </c>
      <c r="R11" s="785"/>
      <c r="S11" s="785"/>
      <c r="T11" s="785"/>
      <c r="U11" s="785"/>
      <c r="V11" s="785"/>
      <c r="W11" s="785"/>
      <c r="X11" s="785"/>
    </row>
    <row r="12" spans="1:24" ht="22.5" customHeight="1">
      <c r="Q12" s="785"/>
      <c r="R12" s="785"/>
      <c r="S12" s="785"/>
      <c r="T12" s="785"/>
      <c r="U12" s="785"/>
      <c r="V12" s="785"/>
      <c r="W12" s="785"/>
      <c r="X12" s="785"/>
    </row>
    <row r="13" spans="1:24" ht="17.25" customHeight="1">
      <c r="B13" s="831">
        <f>cst_shinsei_HIKIUKE_DATE</f>
        <v>45023</v>
      </c>
      <c r="C13" s="831"/>
      <c r="D13" s="451" t="s">
        <v>464</v>
      </c>
      <c r="E13" s="462">
        <f>cst_shinsei_HIKIUKE_DATE</f>
        <v>45023</v>
      </c>
      <c r="F13" s="451" t="s">
        <v>1</v>
      </c>
      <c r="G13" s="463">
        <f>cst_shinsei_HIKIUKE_DATE</f>
        <v>45023</v>
      </c>
      <c r="H13" s="451" t="s">
        <v>465</v>
      </c>
      <c r="I13" s="451"/>
      <c r="J13" s="295" t="s">
        <v>3034</v>
      </c>
    </row>
    <row r="14" spans="1:24" ht="17.25" customHeight="1">
      <c r="B14" s="295" t="s">
        <v>3035</v>
      </c>
    </row>
    <row r="15" spans="1:24" ht="21.75" customHeight="1"/>
    <row r="16" spans="1:24" ht="39.75" customHeight="1">
      <c r="B16" s="299">
        <v>1</v>
      </c>
      <c r="C16" s="809" t="s">
        <v>2834</v>
      </c>
      <c r="D16" s="809"/>
      <c r="E16" s="809"/>
      <c r="F16" s="809"/>
      <c r="G16" s="809"/>
      <c r="H16" s="809"/>
      <c r="I16" s="300"/>
      <c r="J16" s="814" t="str">
        <f>cst_wskakunin_owner1__space</f>
        <v>菅野　幸子</v>
      </c>
      <c r="K16" s="815"/>
      <c r="L16" s="815"/>
      <c r="M16" s="815"/>
      <c r="N16" s="815"/>
      <c r="O16" s="815"/>
      <c r="P16" s="815"/>
      <c r="Q16" s="815"/>
      <c r="R16" s="815"/>
      <c r="S16" s="815"/>
      <c r="T16" s="815"/>
      <c r="U16" s="815"/>
      <c r="V16" s="815"/>
      <c r="W16" s="816"/>
    </row>
    <row r="17" spans="1:24" ht="39.75" customHeight="1">
      <c r="B17" s="301">
        <v>2</v>
      </c>
      <c r="C17" s="809" t="s">
        <v>20</v>
      </c>
      <c r="D17" s="809"/>
      <c r="E17" s="809"/>
      <c r="F17" s="809"/>
      <c r="G17" s="809"/>
      <c r="H17" s="809"/>
      <c r="I17" s="302"/>
      <c r="J17" s="810" t="str">
        <f ca="1">IF(cst_ISSUE_NO_select="","第　　　　　　　号",IF(COUNTIF(cst_ISSUE_NO_select,"*第*")&gt;0,"","第")&amp;cst_ISSUE_NO_select&amp;IF(COUNTIF(cst_ISSUE_NO_select,"*号*")&gt;0,"","号"))</f>
        <v>第 2022確認建築静建住ま10505 号</v>
      </c>
      <c r="K17" s="811"/>
      <c r="L17" s="811"/>
      <c r="M17" s="811"/>
      <c r="N17" s="811"/>
      <c r="O17" s="811"/>
      <c r="P17" s="811"/>
      <c r="Q17" s="811"/>
      <c r="R17" s="811"/>
      <c r="S17" s="811"/>
      <c r="T17" s="811"/>
      <c r="U17" s="811"/>
      <c r="V17" s="811"/>
      <c r="W17" s="812"/>
    </row>
    <row r="18" spans="1:24" ht="39.75" customHeight="1">
      <c r="B18" s="301">
        <v>3</v>
      </c>
      <c r="C18" s="809" t="s">
        <v>21</v>
      </c>
      <c r="D18" s="809"/>
      <c r="E18" s="809"/>
      <c r="F18" s="809"/>
      <c r="G18" s="809"/>
      <c r="H18" s="809"/>
      <c r="I18" s="302"/>
      <c r="J18" s="828">
        <f ca="1">cst_ISSUE_DATE_select</f>
        <v>44958</v>
      </c>
      <c r="K18" s="829"/>
      <c r="L18" s="458" t="s">
        <v>464</v>
      </c>
      <c r="M18" s="460">
        <f ca="1">cst_ISSUE_DATE_select</f>
        <v>44958</v>
      </c>
      <c r="N18" s="458" t="s">
        <v>1</v>
      </c>
      <c r="O18" s="461">
        <f ca="1">cst_ISSUE_DATE_select</f>
        <v>44958</v>
      </c>
      <c r="P18" s="458" t="s">
        <v>465</v>
      </c>
      <c r="R18" s="458"/>
      <c r="S18" s="458"/>
      <c r="T18" s="458"/>
      <c r="U18" s="458"/>
      <c r="V18" s="458"/>
      <c r="W18" s="459"/>
    </row>
    <row r="19" spans="1:24" ht="39.75" customHeight="1">
      <c r="B19" s="301">
        <v>4</v>
      </c>
      <c r="C19" s="809" t="s">
        <v>2837</v>
      </c>
      <c r="D19" s="809"/>
      <c r="E19" s="809"/>
      <c r="F19" s="809"/>
      <c r="G19" s="809"/>
      <c r="H19" s="809"/>
      <c r="I19" s="302"/>
      <c r="J19" s="814" t="str">
        <f>cst_wskakunin_BUILD__address</f>
        <v>静岡県静岡市葵区平和二丁目215-8</v>
      </c>
      <c r="K19" s="815"/>
      <c r="L19" s="815"/>
      <c r="M19" s="815"/>
      <c r="N19" s="815"/>
      <c r="O19" s="815"/>
      <c r="P19" s="815"/>
      <c r="Q19" s="815"/>
      <c r="R19" s="815"/>
      <c r="S19" s="815"/>
      <c r="T19" s="815"/>
      <c r="U19" s="815"/>
      <c r="V19" s="815"/>
      <c r="W19" s="816"/>
    </row>
    <row r="20" spans="1:24" ht="91.5" customHeight="1" thickBot="1">
      <c r="B20" s="299">
        <v>5</v>
      </c>
      <c r="C20" s="824" t="s">
        <v>2838</v>
      </c>
      <c r="D20" s="824"/>
      <c r="E20" s="824"/>
      <c r="F20" s="824"/>
      <c r="G20" s="824"/>
      <c r="H20" s="824"/>
      <c r="I20" s="303"/>
      <c r="J20" s="825"/>
      <c r="K20" s="826"/>
      <c r="L20" s="826"/>
      <c r="M20" s="826"/>
      <c r="N20" s="826"/>
      <c r="O20" s="826"/>
      <c r="P20" s="826"/>
      <c r="Q20" s="826"/>
      <c r="R20" s="826"/>
      <c r="S20" s="826"/>
      <c r="T20" s="826"/>
      <c r="U20" s="826"/>
      <c r="V20" s="826"/>
      <c r="W20" s="827"/>
    </row>
    <row r="21" spans="1:24" ht="120" customHeight="1" thickTop="1">
      <c r="B21" s="819" t="s">
        <v>2839</v>
      </c>
      <c r="C21" s="820"/>
      <c r="D21" s="821"/>
      <c r="E21" s="822"/>
      <c r="F21" s="822"/>
      <c r="G21" s="822"/>
      <c r="H21" s="822"/>
      <c r="I21" s="822"/>
      <c r="J21" s="822"/>
      <c r="K21" s="822"/>
      <c r="L21" s="822"/>
      <c r="M21" s="823"/>
      <c r="N21" s="304" t="s">
        <v>2805</v>
      </c>
      <c r="O21" s="821"/>
      <c r="P21" s="822"/>
      <c r="Q21" s="822"/>
      <c r="R21" s="823"/>
      <c r="S21" s="304" t="s">
        <v>2806</v>
      </c>
      <c r="T21" s="821"/>
      <c r="U21" s="822"/>
      <c r="V21" s="822"/>
      <c r="W21" s="823"/>
    </row>
    <row r="22" spans="1:24" ht="19.5" customHeight="1"/>
    <row r="23" spans="1:24" ht="20.25" customHeight="1">
      <c r="A23" s="295" t="s">
        <v>484</v>
      </c>
      <c r="C23" s="830" t="s">
        <v>3186</v>
      </c>
      <c r="D23" s="830"/>
      <c r="E23" s="830"/>
      <c r="F23" s="830"/>
      <c r="G23" s="830"/>
      <c r="H23" s="830"/>
      <c r="I23" s="830"/>
      <c r="J23" s="830"/>
      <c r="K23" s="830"/>
      <c r="L23" s="830"/>
      <c r="M23" s="830"/>
      <c r="N23" s="830"/>
      <c r="O23" s="830"/>
      <c r="P23" s="830"/>
      <c r="Q23" s="830"/>
      <c r="R23" s="830"/>
      <c r="S23" s="830"/>
      <c r="T23" s="830"/>
      <c r="U23" s="830"/>
      <c r="V23" s="830"/>
      <c r="W23" s="830"/>
      <c r="X23" s="830"/>
    </row>
    <row r="24" spans="1:24" ht="20.25" customHeight="1">
      <c r="C24" s="830" t="s">
        <v>3188</v>
      </c>
      <c r="D24" s="830"/>
      <c r="E24" s="830"/>
      <c r="F24" s="830"/>
      <c r="G24" s="830"/>
      <c r="H24" s="830"/>
      <c r="I24" s="830"/>
      <c r="J24" s="830"/>
      <c r="K24" s="830"/>
      <c r="L24" s="830"/>
      <c r="M24" s="830"/>
      <c r="N24" s="830"/>
      <c r="O24" s="830"/>
      <c r="P24" s="830"/>
      <c r="Q24" s="830"/>
      <c r="R24" s="830"/>
      <c r="S24" s="830"/>
      <c r="T24" s="830"/>
      <c r="U24" s="830"/>
      <c r="V24" s="830"/>
      <c r="W24" s="830"/>
      <c r="X24" s="830"/>
    </row>
    <row r="25" spans="1:24" ht="20.25" customHeight="1">
      <c r="C25" s="295" t="s">
        <v>3187</v>
      </c>
    </row>
    <row r="26" spans="1:24" ht="20.25" customHeight="1"/>
  </sheetData>
  <mergeCells count="21">
    <mergeCell ref="C19:H19"/>
    <mergeCell ref="J19:W19"/>
    <mergeCell ref="C20:H20"/>
    <mergeCell ref="J20:W20"/>
    <mergeCell ref="J18:K18"/>
    <mergeCell ref="C23:X23"/>
    <mergeCell ref="C24:X24"/>
    <mergeCell ref="C17:H17"/>
    <mergeCell ref="J17:W17"/>
    <mergeCell ref="A2:X2"/>
    <mergeCell ref="C16:H16"/>
    <mergeCell ref="J16:W16"/>
    <mergeCell ref="Q9:X10"/>
    <mergeCell ref="Q11:X12"/>
    <mergeCell ref="R4:S4"/>
    <mergeCell ref="B13:C13"/>
    <mergeCell ref="B21:C21"/>
    <mergeCell ref="D21:M21"/>
    <mergeCell ref="O21:R21"/>
    <mergeCell ref="T21:W21"/>
    <mergeCell ref="C18:H18"/>
  </mergeCells>
  <phoneticPr fontId="57"/>
  <printOptions horizontalCentered="1"/>
  <pageMargins left="0.39370078740157483" right="0.39370078740157483" top="0.6692913385826772" bottom="0.74803149606299213"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zoomScale="75" zoomScaleNormal="75" zoomScaleSheetLayoutView="70" workbookViewId="0"/>
  </sheetViews>
  <sheetFormatPr defaultColWidth="3.75" defaultRowHeight="17.25" customHeight="1"/>
  <cols>
    <col min="1" max="1" width="2.5" style="295" customWidth="1"/>
    <col min="2" max="2" width="3" style="295" customWidth="1"/>
    <col min="3" max="4" width="2.25" style="295" customWidth="1"/>
    <col min="5" max="8" width="4.125" style="295" customWidth="1"/>
    <col min="9" max="9" width="1.25" style="295" customWidth="1"/>
    <col min="10" max="23" width="4.125" style="295" customWidth="1"/>
    <col min="24" max="24" width="2.625" style="295" customWidth="1"/>
    <col min="25" max="256" width="3.75" style="295" customWidth="1"/>
    <col min="257" max="257" width="2.5" style="295" customWidth="1"/>
    <col min="258" max="258" width="3" style="295" customWidth="1"/>
    <col min="259" max="260" width="2.25" style="295" customWidth="1"/>
    <col min="261" max="264" width="4.125" style="295" customWidth="1"/>
    <col min="265" max="265" width="1.25" style="295" customWidth="1"/>
    <col min="266" max="279" width="4.125" style="295" customWidth="1"/>
    <col min="280" max="280" width="2.625" style="295" customWidth="1"/>
    <col min="281" max="512" width="3.75" style="295" customWidth="1"/>
    <col min="513" max="513" width="2.5" style="295" customWidth="1"/>
    <col min="514" max="514" width="3" style="295" customWidth="1"/>
    <col min="515" max="516" width="2.25" style="295" customWidth="1"/>
    <col min="517" max="520" width="4.125" style="295" customWidth="1"/>
    <col min="521" max="521" width="1.25" style="295" customWidth="1"/>
    <col min="522" max="535" width="4.125" style="295" customWidth="1"/>
    <col min="536" max="536" width="2.625" style="295" customWidth="1"/>
    <col min="537" max="768" width="3.75" style="295" customWidth="1"/>
    <col min="769" max="769" width="2.5" style="295" customWidth="1"/>
    <col min="770" max="770" width="3" style="295" customWidth="1"/>
    <col min="771" max="772" width="2.25" style="295" customWidth="1"/>
    <col min="773" max="776" width="4.125" style="295" customWidth="1"/>
    <col min="777" max="777" width="1.25" style="295" customWidth="1"/>
    <col min="778" max="791" width="4.125" style="295" customWidth="1"/>
    <col min="792" max="792" width="2.625" style="295" customWidth="1"/>
    <col min="793" max="1024" width="3.75" style="295" customWidth="1"/>
    <col min="1025" max="1025" width="2.5" style="295" customWidth="1"/>
    <col min="1026" max="1026" width="3" style="295" customWidth="1"/>
    <col min="1027" max="1028" width="2.25" style="295" customWidth="1"/>
    <col min="1029" max="1032" width="4.125" style="295" customWidth="1"/>
    <col min="1033" max="1033" width="1.25" style="295" customWidth="1"/>
    <col min="1034" max="1047" width="4.125" style="295" customWidth="1"/>
    <col min="1048" max="1048" width="2.625" style="295" customWidth="1"/>
    <col min="1049" max="1280" width="3.75" style="295" customWidth="1"/>
    <col min="1281" max="1281" width="2.5" style="295" customWidth="1"/>
    <col min="1282" max="1282" width="3" style="295" customWidth="1"/>
    <col min="1283" max="1284" width="2.25" style="295" customWidth="1"/>
    <col min="1285" max="1288" width="4.125" style="295" customWidth="1"/>
    <col min="1289" max="1289" width="1.25" style="295" customWidth="1"/>
    <col min="1290" max="1303" width="4.125" style="295" customWidth="1"/>
    <col min="1304" max="1304" width="2.625" style="295" customWidth="1"/>
    <col min="1305" max="1536" width="3.75" style="295" customWidth="1"/>
    <col min="1537" max="1537" width="2.5" style="295" customWidth="1"/>
    <col min="1538" max="1538" width="3" style="295" customWidth="1"/>
    <col min="1539" max="1540" width="2.25" style="295" customWidth="1"/>
    <col min="1541" max="1544" width="4.125" style="295" customWidth="1"/>
    <col min="1545" max="1545" width="1.25" style="295" customWidth="1"/>
    <col min="1546" max="1559" width="4.125" style="295" customWidth="1"/>
    <col min="1560" max="1560" width="2.625" style="295" customWidth="1"/>
    <col min="1561" max="1792" width="3.75" style="295" customWidth="1"/>
    <col min="1793" max="1793" width="2.5" style="295" customWidth="1"/>
    <col min="1794" max="1794" width="3" style="295" customWidth="1"/>
    <col min="1795" max="1796" width="2.25" style="295" customWidth="1"/>
    <col min="1797" max="1800" width="4.125" style="295" customWidth="1"/>
    <col min="1801" max="1801" width="1.25" style="295" customWidth="1"/>
    <col min="1802" max="1815" width="4.125" style="295" customWidth="1"/>
    <col min="1816" max="1816" width="2.625" style="295" customWidth="1"/>
    <col min="1817" max="2048" width="3.75" style="295" customWidth="1"/>
    <col min="2049" max="2049" width="2.5" style="295" customWidth="1"/>
    <col min="2050" max="2050" width="3" style="295" customWidth="1"/>
    <col min="2051" max="2052" width="2.25" style="295" customWidth="1"/>
    <col min="2053" max="2056" width="4.125" style="295" customWidth="1"/>
    <col min="2057" max="2057" width="1.25" style="295" customWidth="1"/>
    <col min="2058" max="2071" width="4.125" style="295" customWidth="1"/>
    <col min="2072" max="2072" width="2.625" style="295" customWidth="1"/>
    <col min="2073" max="2304" width="3.75" style="295" customWidth="1"/>
    <col min="2305" max="2305" width="2.5" style="295" customWidth="1"/>
    <col min="2306" max="2306" width="3" style="295" customWidth="1"/>
    <col min="2307" max="2308" width="2.25" style="295" customWidth="1"/>
    <col min="2309" max="2312" width="4.125" style="295" customWidth="1"/>
    <col min="2313" max="2313" width="1.25" style="295" customWidth="1"/>
    <col min="2314" max="2327" width="4.125" style="295" customWidth="1"/>
    <col min="2328" max="2328" width="2.625" style="295" customWidth="1"/>
    <col min="2329" max="2560" width="3.75" style="295" customWidth="1"/>
    <col min="2561" max="2561" width="2.5" style="295" customWidth="1"/>
    <col min="2562" max="2562" width="3" style="295" customWidth="1"/>
    <col min="2563" max="2564" width="2.25" style="295" customWidth="1"/>
    <col min="2565" max="2568" width="4.125" style="295" customWidth="1"/>
    <col min="2569" max="2569" width="1.25" style="295" customWidth="1"/>
    <col min="2570" max="2583" width="4.125" style="295" customWidth="1"/>
    <col min="2584" max="2584" width="2.625" style="295" customWidth="1"/>
    <col min="2585" max="2816" width="3.75" style="295" customWidth="1"/>
    <col min="2817" max="2817" width="2.5" style="295" customWidth="1"/>
    <col min="2818" max="2818" width="3" style="295" customWidth="1"/>
    <col min="2819" max="2820" width="2.25" style="295" customWidth="1"/>
    <col min="2821" max="2824" width="4.125" style="295" customWidth="1"/>
    <col min="2825" max="2825" width="1.25" style="295" customWidth="1"/>
    <col min="2826" max="2839" width="4.125" style="295" customWidth="1"/>
    <col min="2840" max="2840" width="2.625" style="295" customWidth="1"/>
    <col min="2841" max="3072" width="3.75" style="295" customWidth="1"/>
    <col min="3073" max="3073" width="2.5" style="295" customWidth="1"/>
    <col min="3074" max="3074" width="3" style="295" customWidth="1"/>
    <col min="3075" max="3076" width="2.25" style="295" customWidth="1"/>
    <col min="3077" max="3080" width="4.125" style="295" customWidth="1"/>
    <col min="3081" max="3081" width="1.25" style="295" customWidth="1"/>
    <col min="3082" max="3095" width="4.125" style="295" customWidth="1"/>
    <col min="3096" max="3096" width="2.625" style="295" customWidth="1"/>
    <col min="3097" max="3328" width="3.75" style="295" customWidth="1"/>
    <col min="3329" max="3329" width="2.5" style="295" customWidth="1"/>
    <col min="3330" max="3330" width="3" style="295" customWidth="1"/>
    <col min="3331" max="3332" width="2.25" style="295" customWidth="1"/>
    <col min="3333" max="3336" width="4.125" style="295" customWidth="1"/>
    <col min="3337" max="3337" width="1.25" style="295" customWidth="1"/>
    <col min="3338" max="3351" width="4.125" style="295" customWidth="1"/>
    <col min="3352" max="3352" width="2.625" style="295" customWidth="1"/>
    <col min="3353" max="3584" width="3.75" style="295" customWidth="1"/>
    <col min="3585" max="3585" width="2.5" style="295" customWidth="1"/>
    <col min="3586" max="3586" width="3" style="295" customWidth="1"/>
    <col min="3587" max="3588" width="2.25" style="295" customWidth="1"/>
    <col min="3589" max="3592" width="4.125" style="295" customWidth="1"/>
    <col min="3593" max="3593" width="1.25" style="295" customWidth="1"/>
    <col min="3594" max="3607" width="4.125" style="295" customWidth="1"/>
    <col min="3608" max="3608" width="2.625" style="295" customWidth="1"/>
    <col min="3609" max="3840" width="3.75" style="295" customWidth="1"/>
    <col min="3841" max="3841" width="2.5" style="295" customWidth="1"/>
    <col min="3842" max="3842" width="3" style="295" customWidth="1"/>
    <col min="3843" max="3844" width="2.25" style="295" customWidth="1"/>
    <col min="3845" max="3848" width="4.125" style="295" customWidth="1"/>
    <col min="3849" max="3849" width="1.25" style="295" customWidth="1"/>
    <col min="3850" max="3863" width="4.125" style="295" customWidth="1"/>
    <col min="3864" max="3864" width="2.625" style="295" customWidth="1"/>
    <col min="3865" max="4096" width="3.75" style="295" customWidth="1"/>
    <col min="4097" max="4097" width="2.5" style="295" customWidth="1"/>
    <col min="4098" max="4098" width="3" style="295" customWidth="1"/>
    <col min="4099" max="4100" width="2.25" style="295" customWidth="1"/>
    <col min="4101" max="4104" width="4.125" style="295" customWidth="1"/>
    <col min="4105" max="4105" width="1.25" style="295" customWidth="1"/>
    <col min="4106" max="4119" width="4.125" style="295" customWidth="1"/>
    <col min="4120" max="4120" width="2.625" style="295" customWidth="1"/>
    <col min="4121" max="4352" width="3.75" style="295" customWidth="1"/>
    <col min="4353" max="4353" width="2.5" style="295" customWidth="1"/>
    <col min="4354" max="4354" width="3" style="295" customWidth="1"/>
    <col min="4355" max="4356" width="2.25" style="295" customWidth="1"/>
    <col min="4357" max="4360" width="4.125" style="295" customWidth="1"/>
    <col min="4361" max="4361" width="1.25" style="295" customWidth="1"/>
    <col min="4362" max="4375" width="4.125" style="295" customWidth="1"/>
    <col min="4376" max="4376" width="2.625" style="295" customWidth="1"/>
    <col min="4377" max="4608" width="3.75" style="295" customWidth="1"/>
    <col min="4609" max="4609" width="2.5" style="295" customWidth="1"/>
    <col min="4610" max="4610" width="3" style="295" customWidth="1"/>
    <col min="4611" max="4612" width="2.25" style="295" customWidth="1"/>
    <col min="4613" max="4616" width="4.125" style="295" customWidth="1"/>
    <col min="4617" max="4617" width="1.25" style="295" customWidth="1"/>
    <col min="4618" max="4631" width="4.125" style="295" customWidth="1"/>
    <col min="4632" max="4632" width="2.625" style="295" customWidth="1"/>
    <col min="4633" max="4864" width="3.75" style="295" customWidth="1"/>
    <col min="4865" max="4865" width="2.5" style="295" customWidth="1"/>
    <col min="4866" max="4866" width="3" style="295" customWidth="1"/>
    <col min="4867" max="4868" width="2.25" style="295" customWidth="1"/>
    <col min="4869" max="4872" width="4.125" style="295" customWidth="1"/>
    <col min="4873" max="4873" width="1.25" style="295" customWidth="1"/>
    <col min="4874" max="4887" width="4.125" style="295" customWidth="1"/>
    <col min="4888" max="4888" width="2.625" style="295" customWidth="1"/>
    <col min="4889" max="5120" width="3.75" style="295" customWidth="1"/>
    <col min="5121" max="5121" width="2.5" style="295" customWidth="1"/>
    <col min="5122" max="5122" width="3" style="295" customWidth="1"/>
    <col min="5123" max="5124" width="2.25" style="295" customWidth="1"/>
    <col min="5125" max="5128" width="4.125" style="295" customWidth="1"/>
    <col min="5129" max="5129" width="1.25" style="295" customWidth="1"/>
    <col min="5130" max="5143" width="4.125" style="295" customWidth="1"/>
    <col min="5144" max="5144" width="2.625" style="295" customWidth="1"/>
    <col min="5145" max="5376" width="3.75" style="295" customWidth="1"/>
    <col min="5377" max="5377" width="2.5" style="295" customWidth="1"/>
    <col min="5378" max="5378" width="3" style="295" customWidth="1"/>
    <col min="5379" max="5380" width="2.25" style="295" customWidth="1"/>
    <col min="5381" max="5384" width="4.125" style="295" customWidth="1"/>
    <col min="5385" max="5385" width="1.25" style="295" customWidth="1"/>
    <col min="5386" max="5399" width="4.125" style="295" customWidth="1"/>
    <col min="5400" max="5400" width="2.625" style="295" customWidth="1"/>
    <col min="5401" max="5632" width="3.75" style="295" customWidth="1"/>
    <col min="5633" max="5633" width="2.5" style="295" customWidth="1"/>
    <col min="5634" max="5634" width="3" style="295" customWidth="1"/>
    <col min="5635" max="5636" width="2.25" style="295" customWidth="1"/>
    <col min="5637" max="5640" width="4.125" style="295" customWidth="1"/>
    <col min="5641" max="5641" width="1.25" style="295" customWidth="1"/>
    <col min="5642" max="5655" width="4.125" style="295" customWidth="1"/>
    <col min="5656" max="5656" width="2.625" style="295" customWidth="1"/>
    <col min="5657" max="5888" width="3.75" style="295" customWidth="1"/>
    <col min="5889" max="5889" width="2.5" style="295" customWidth="1"/>
    <col min="5890" max="5890" width="3" style="295" customWidth="1"/>
    <col min="5891" max="5892" width="2.25" style="295" customWidth="1"/>
    <col min="5893" max="5896" width="4.125" style="295" customWidth="1"/>
    <col min="5897" max="5897" width="1.25" style="295" customWidth="1"/>
    <col min="5898" max="5911" width="4.125" style="295" customWidth="1"/>
    <col min="5912" max="5912" width="2.625" style="295" customWidth="1"/>
    <col min="5913" max="6144" width="3.75" style="295" customWidth="1"/>
    <col min="6145" max="6145" width="2.5" style="295" customWidth="1"/>
    <col min="6146" max="6146" width="3" style="295" customWidth="1"/>
    <col min="6147" max="6148" width="2.25" style="295" customWidth="1"/>
    <col min="6149" max="6152" width="4.125" style="295" customWidth="1"/>
    <col min="6153" max="6153" width="1.25" style="295" customWidth="1"/>
    <col min="6154" max="6167" width="4.125" style="295" customWidth="1"/>
    <col min="6168" max="6168" width="2.625" style="295" customWidth="1"/>
    <col min="6169" max="6400" width="3.75" style="295" customWidth="1"/>
    <col min="6401" max="6401" width="2.5" style="295" customWidth="1"/>
    <col min="6402" max="6402" width="3" style="295" customWidth="1"/>
    <col min="6403" max="6404" width="2.25" style="295" customWidth="1"/>
    <col min="6405" max="6408" width="4.125" style="295" customWidth="1"/>
    <col min="6409" max="6409" width="1.25" style="295" customWidth="1"/>
    <col min="6410" max="6423" width="4.125" style="295" customWidth="1"/>
    <col min="6424" max="6424" width="2.625" style="295" customWidth="1"/>
    <col min="6425" max="6656" width="3.75" style="295" customWidth="1"/>
    <col min="6657" max="6657" width="2.5" style="295" customWidth="1"/>
    <col min="6658" max="6658" width="3" style="295" customWidth="1"/>
    <col min="6659" max="6660" width="2.25" style="295" customWidth="1"/>
    <col min="6661" max="6664" width="4.125" style="295" customWidth="1"/>
    <col min="6665" max="6665" width="1.25" style="295" customWidth="1"/>
    <col min="6666" max="6679" width="4.125" style="295" customWidth="1"/>
    <col min="6680" max="6680" width="2.625" style="295" customWidth="1"/>
    <col min="6681" max="6912" width="3.75" style="295" customWidth="1"/>
    <col min="6913" max="6913" width="2.5" style="295" customWidth="1"/>
    <col min="6914" max="6914" width="3" style="295" customWidth="1"/>
    <col min="6915" max="6916" width="2.25" style="295" customWidth="1"/>
    <col min="6917" max="6920" width="4.125" style="295" customWidth="1"/>
    <col min="6921" max="6921" width="1.25" style="295" customWidth="1"/>
    <col min="6922" max="6935" width="4.125" style="295" customWidth="1"/>
    <col min="6936" max="6936" width="2.625" style="295" customWidth="1"/>
    <col min="6937" max="7168" width="3.75" style="295" customWidth="1"/>
    <col min="7169" max="7169" width="2.5" style="295" customWidth="1"/>
    <col min="7170" max="7170" width="3" style="295" customWidth="1"/>
    <col min="7171" max="7172" width="2.25" style="295" customWidth="1"/>
    <col min="7173" max="7176" width="4.125" style="295" customWidth="1"/>
    <col min="7177" max="7177" width="1.25" style="295" customWidth="1"/>
    <col min="7178" max="7191" width="4.125" style="295" customWidth="1"/>
    <col min="7192" max="7192" width="2.625" style="295" customWidth="1"/>
    <col min="7193" max="7424" width="3.75" style="295" customWidth="1"/>
    <col min="7425" max="7425" width="2.5" style="295" customWidth="1"/>
    <col min="7426" max="7426" width="3" style="295" customWidth="1"/>
    <col min="7427" max="7428" width="2.25" style="295" customWidth="1"/>
    <col min="7429" max="7432" width="4.125" style="295" customWidth="1"/>
    <col min="7433" max="7433" width="1.25" style="295" customWidth="1"/>
    <col min="7434" max="7447" width="4.125" style="295" customWidth="1"/>
    <col min="7448" max="7448" width="2.625" style="295" customWidth="1"/>
    <col min="7449" max="7680" width="3.75" style="295" customWidth="1"/>
    <col min="7681" max="7681" width="2.5" style="295" customWidth="1"/>
    <col min="7682" max="7682" width="3" style="295" customWidth="1"/>
    <col min="7683" max="7684" width="2.25" style="295" customWidth="1"/>
    <col min="7685" max="7688" width="4.125" style="295" customWidth="1"/>
    <col min="7689" max="7689" width="1.25" style="295" customWidth="1"/>
    <col min="7690" max="7703" width="4.125" style="295" customWidth="1"/>
    <col min="7704" max="7704" width="2.625" style="295" customWidth="1"/>
    <col min="7705" max="7936" width="3.75" style="295" customWidth="1"/>
    <col min="7937" max="7937" width="2.5" style="295" customWidth="1"/>
    <col min="7938" max="7938" width="3" style="295" customWidth="1"/>
    <col min="7939" max="7940" width="2.25" style="295" customWidth="1"/>
    <col min="7941" max="7944" width="4.125" style="295" customWidth="1"/>
    <col min="7945" max="7945" width="1.25" style="295" customWidth="1"/>
    <col min="7946" max="7959" width="4.125" style="295" customWidth="1"/>
    <col min="7960" max="7960" width="2.625" style="295" customWidth="1"/>
    <col min="7961" max="8192" width="3.75" style="295" customWidth="1"/>
    <col min="8193" max="8193" width="2.5" style="295" customWidth="1"/>
    <col min="8194" max="8194" width="3" style="295" customWidth="1"/>
    <col min="8195" max="8196" width="2.25" style="295" customWidth="1"/>
    <col min="8197" max="8200" width="4.125" style="295" customWidth="1"/>
    <col min="8201" max="8201" width="1.25" style="295" customWidth="1"/>
    <col min="8202" max="8215" width="4.125" style="295" customWidth="1"/>
    <col min="8216" max="8216" width="2.625" style="295" customWidth="1"/>
    <col min="8217" max="8448" width="3.75" style="295" customWidth="1"/>
    <col min="8449" max="8449" width="2.5" style="295" customWidth="1"/>
    <col min="8450" max="8450" width="3" style="295" customWidth="1"/>
    <col min="8451" max="8452" width="2.25" style="295" customWidth="1"/>
    <col min="8453" max="8456" width="4.125" style="295" customWidth="1"/>
    <col min="8457" max="8457" width="1.25" style="295" customWidth="1"/>
    <col min="8458" max="8471" width="4.125" style="295" customWidth="1"/>
    <col min="8472" max="8472" width="2.625" style="295" customWidth="1"/>
    <col min="8473" max="8704" width="3.75" style="295" customWidth="1"/>
    <col min="8705" max="8705" width="2.5" style="295" customWidth="1"/>
    <col min="8706" max="8706" width="3" style="295" customWidth="1"/>
    <col min="8707" max="8708" width="2.25" style="295" customWidth="1"/>
    <col min="8709" max="8712" width="4.125" style="295" customWidth="1"/>
    <col min="8713" max="8713" width="1.25" style="295" customWidth="1"/>
    <col min="8714" max="8727" width="4.125" style="295" customWidth="1"/>
    <col min="8728" max="8728" width="2.625" style="295" customWidth="1"/>
    <col min="8729" max="8960" width="3.75" style="295" customWidth="1"/>
    <col min="8961" max="8961" width="2.5" style="295" customWidth="1"/>
    <col min="8962" max="8962" width="3" style="295" customWidth="1"/>
    <col min="8963" max="8964" width="2.25" style="295" customWidth="1"/>
    <col min="8965" max="8968" width="4.125" style="295" customWidth="1"/>
    <col min="8969" max="8969" width="1.25" style="295" customWidth="1"/>
    <col min="8970" max="8983" width="4.125" style="295" customWidth="1"/>
    <col min="8984" max="8984" width="2.625" style="295" customWidth="1"/>
    <col min="8985" max="9216" width="3.75" style="295" customWidth="1"/>
    <col min="9217" max="9217" width="2.5" style="295" customWidth="1"/>
    <col min="9218" max="9218" width="3" style="295" customWidth="1"/>
    <col min="9219" max="9220" width="2.25" style="295" customWidth="1"/>
    <col min="9221" max="9224" width="4.125" style="295" customWidth="1"/>
    <col min="9225" max="9225" width="1.25" style="295" customWidth="1"/>
    <col min="9226" max="9239" width="4.125" style="295" customWidth="1"/>
    <col min="9240" max="9240" width="2.625" style="295" customWidth="1"/>
    <col min="9241" max="9472" width="3.75" style="295" customWidth="1"/>
    <col min="9473" max="9473" width="2.5" style="295" customWidth="1"/>
    <col min="9474" max="9474" width="3" style="295" customWidth="1"/>
    <col min="9475" max="9476" width="2.25" style="295" customWidth="1"/>
    <col min="9477" max="9480" width="4.125" style="295" customWidth="1"/>
    <col min="9481" max="9481" width="1.25" style="295" customWidth="1"/>
    <col min="9482" max="9495" width="4.125" style="295" customWidth="1"/>
    <col min="9496" max="9496" width="2.625" style="295" customWidth="1"/>
    <col min="9497" max="9728" width="3.75" style="295" customWidth="1"/>
    <col min="9729" max="9729" width="2.5" style="295" customWidth="1"/>
    <col min="9730" max="9730" width="3" style="295" customWidth="1"/>
    <col min="9731" max="9732" width="2.25" style="295" customWidth="1"/>
    <col min="9733" max="9736" width="4.125" style="295" customWidth="1"/>
    <col min="9737" max="9737" width="1.25" style="295" customWidth="1"/>
    <col min="9738" max="9751" width="4.125" style="295" customWidth="1"/>
    <col min="9752" max="9752" width="2.625" style="295" customWidth="1"/>
    <col min="9753" max="9984" width="3.75" style="295" customWidth="1"/>
    <col min="9985" max="9985" width="2.5" style="295" customWidth="1"/>
    <col min="9986" max="9986" width="3" style="295" customWidth="1"/>
    <col min="9987" max="9988" width="2.25" style="295" customWidth="1"/>
    <col min="9989" max="9992" width="4.125" style="295" customWidth="1"/>
    <col min="9993" max="9993" width="1.25" style="295" customWidth="1"/>
    <col min="9994" max="10007" width="4.125" style="295" customWidth="1"/>
    <col min="10008" max="10008" width="2.625" style="295" customWidth="1"/>
    <col min="10009" max="10240" width="3.75" style="295" customWidth="1"/>
    <col min="10241" max="10241" width="2.5" style="295" customWidth="1"/>
    <col min="10242" max="10242" width="3" style="295" customWidth="1"/>
    <col min="10243" max="10244" width="2.25" style="295" customWidth="1"/>
    <col min="10245" max="10248" width="4.125" style="295" customWidth="1"/>
    <col min="10249" max="10249" width="1.25" style="295" customWidth="1"/>
    <col min="10250" max="10263" width="4.125" style="295" customWidth="1"/>
    <col min="10264" max="10264" width="2.625" style="295" customWidth="1"/>
    <col min="10265" max="10496" width="3.75" style="295" customWidth="1"/>
    <col min="10497" max="10497" width="2.5" style="295" customWidth="1"/>
    <col min="10498" max="10498" width="3" style="295" customWidth="1"/>
    <col min="10499" max="10500" width="2.25" style="295" customWidth="1"/>
    <col min="10501" max="10504" width="4.125" style="295" customWidth="1"/>
    <col min="10505" max="10505" width="1.25" style="295" customWidth="1"/>
    <col min="10506" max="10519" width="4.125" style="295" customWidth="1"/>
    <col min="10520" max="10520" width="2.625" style="295" customWidth="1"/>
    <col min="10521" max="10752" width="3.75" style="295" customWidth="1"/>
    <col min="10753" max="10753" width="2.5" style="295" customWidth="1"/>
    <col min="10754" max="10754" width="3" style="295" customWidth="1"/>
    <col min="10755" max="10756" width="2.25" style="295" customWidth="1"/>
    <col min="10757" max="10760" width="4.125" style="295" customWidth="1"/>
    <col min="10761" max="10761" width="1.25" style="295" customWidth="1"/>
    <col min="10762" max="10775" width="4.125" style="295" customWidth="1"/>
    <col min="10776" max="10776" width="2.625" style="295" customWidth="1"/>
    <col min="10777" max="11008" width="3.75" style="295" customWidth="1"/>
    <col min="11009" max="11009" width="2.5" style="295" customWidth="1"/>
    <col min="11010" max="11010" width="3" style="295" customWidth="1"/>
    <col min="11011" max="11012" width="2.25" style="295" customWidth="1"/>
    <col min="11013" max="11016" width="4.125" style="295" customWidth="1"/>
    <col min="11017" max="11017" width="1.25" style="295" customWidth="1"/>
    <col min="11018" max="11031" width="4.125" style="295" customWidth="1"/>
    <col min="11032" max="11032" width="2.625" style="295" customWidth="1"/>
    <col min="11033" max="11264" width="3.75" style="295" customWidth="1"/>
    <col min="11265" max="11265" width="2.5" style="295" customWidth="1"/>
    <col min="11266" max="11266" width="3" style="295" customWidth="1"/>
    <col min="11267" max="11268" width="2.25" style="295" customWidth="1"/>
    <col min="11269" max="11272" width="4.125" style="295" customWidth="1"/>
    <col min="11273" max="11273" width="1.25" style="295" customWidth="1"/>
    <col min="11274" max="11287" width="4.125" style="295" customWidth="1"/>
    <col min="11288" max="11288" width="2.625" style="295" customWidth="1"/>
    <col min="11289" max="11520" width="3.75" style="295" customWidth="1"/>
    <col min="11521" max="11521" width="2.5" style="295" customWidth="1"/>
    <col min="11522" max="11522" width="3" style="295" customWidth="1"/>
    <col min="11523" max="11524" width="2.25" style="295" customWidth="1"/>
    <col min="11525" max="11528" width="4.125" style="295" customWidth="1"/>
    <col min="11529" max="11529" width="1.25" style="295" customWidth="1"/>
    <col min="11530" max="11543" width="4.125" style="295" customWidth="1"/>
    <col min="11544" max="11544" width="2.625" style="295" customWidth="1"/>
    <col min="11545" max="11776" width="3.75" style="295" customWidth="1"/>
    <col min="11777" max="11777" width="2.5" style="295" customWidth="1"/>
    <col min="11778" max="11778" width="3" style="295" customWidth="1"/>
    <col min="11779" max="11780" width="2.25" style="295" customWidth="1"/>
    <col min="11781" max="11784" width="4.125" style="295" customWidth="1"/>
    <col min="11785" max="11785" width="1.25" style="295" customWidth="1"/>
    <col min="11786" max="11799" width="4.125" style="295" customWidth="1"/>
    <col min="11800" max="11800" width="2.625" style="295" customWidth="1"/>
    <col min="11801" max="12032" width="3.75" style="295" customWidth="1"/>
    <col min="12033" max="12033" width="2.5" style="295" customWidth="1"/>
    <col min="12034" max="12034" width="3" style="295" customWidth="1"/>
    <col min="12035" max="12036" width="2.25" style="295" customWidth="1"/>
    <col min="12037" max="12040" width="4.125" style="295" customWidth="1"/>
    <col min="12041" max="12041" width="1.25" style="295" customWidth="1"/>
    <col min="12042" max="12055" width="4.125" style="295" customWidth="1"/>
    <col min="12056" max="12056" width="2.625" style="295" customWidth="1"/>
    <col min="12057" max="12288" width="3.75" style="295" customWidth="1"/>
    <col min="12289" max="12289" width="2.5" style="295" customWidth="1"/>
    <col min="12290" max="12290" width="3" style="295" customWidth="1"/>
    <col min="12291" max="12292" width="2.25" style="295" customWidth="1"/>
    <col min="12293" max="12296" width="4.125" style="295" customWidth="1"/>
    <col min="12297" max="12297" width="1.25" style="295" customWidth="1"/>
    <col min="12298" max="12311" width="4.125" style="295" customWidth="1"/>
    <col min="12312" max="12312" width="2.625" style="295" customWidth="1"/>
    <col min="12313" max="12544" width="3.75" style="295" customWidth="1"/>
    <col min="12545" max="12545" width="2.5" style="295" customWidth="1"/>
    <col min="12546" max="12546" width="3" style="295" customWidth="1"/>
    <col min="12547" max="12548" width="2.25" style="295" customWidth="1"/>
    <col min="12549" max="12552" width="4.125" style="295" customWidth="1"/>
    <col min="12553" max="12553" width="1.25" style="295" customWidth="1"/>
    <col min="12554" max="12567" width="4.125" style="295" customWidth="1"/>
    <col min="12568" max="12568" width="2.625" style="295" customWidth="1"/>
    <col min="12569" max="12800" width="3.75" style="295" customWidth="1"/>
    <col min="12801" max="12801" width="2.5" style="295" customWidth="1"/>
    <col min="12802" max="12802" width="3" style="295" customWidth="1"/>
    <col min="12803" max="12804" width="2.25" style="295" customWidth="1"/>
    <col min="12805" max="12808" width="4.125" style="295" customWidth="1"/>
    <col min="12809" max="12809" width="1.25" style="295" customWidth="1"/>
    <col min="12810" max="12823" width="4.125" style="295" customWidth="1"/>
    <col min="12824" max="12824" width="2.625" style="295" customWidth="1"/>
    <col min="12825" max="13056" width="3.75" style="295" customWidth="1"/>
    <col min="13057" max="13057" width="2.5" style="295" customWidth="1"/>
    <col min="13058" max="13058" width="3" style="295" customWidth="1"/>
    <col min="13059" max="13060" width="2.25" style="295" customWidth="1"/>
    <col min="13061" max="13064" width="4.125" style="295" customWidth="1"/>
    <col min="13065" max="13065" width="1.25" style="295" customWidth="1"/>
    <col min="13066" max="13079" width="4.125" style="295" customWidth="1"/>
    <col min="13080" max="13080" width="2.625" style="295" customWidth="1"/>
    <col min="13081" max="13312" width="3.75" style="295" customWidth="1"/>
    <col min="13313" max="13313" width="2.5" style="295" customWidth="1"/>
    <col min="13314" max="13314" width="3" style="295" customWidth="1"/>
    <col min="13315" max="13316" width="2.25" style="295" customWidth="1"/>
    <col min="13317" max="13320" width="4.125" style="295" customWidth="1"/>
    <col min="13321" max="13321" width="1.25" style="295" customWidth="1"/>
    <col min="13322" max="13335" width="4.125" style="295" customWidth="1"/>
    <col min="13336" max="13336" width="2.625" style="295" customWidth="1"/>
    <col min="13337" max="13568" width="3.75" style="295" customWidth="1"/>
    <col min="13569" max="13569" width="2.5" style="295" customWidth="1"/>
    <col min="13570" max="13570" width="3" style="295" customWidth="1"/>
    <col min="13571" max="13572" width="2.25" style="295" customWidth="1"/>
    <col min="13573" max="13576" width="4.125" style="295" customWidth="1"/>
    <col min="13577" max="13577" width="1.25" style="295" customWidth="1"/>
    <col min="13578" max="13591" width="4.125" style="295" customWidth="1"/>
    <col min="13592" max="13592" width="2.625" style="295" customWidth="1"/>
    <col min="13593" max="13824" width="3.75" style="295" customWidth="1"/>
    <col min="13825" max="13825" width="2.5" style="295" customWidth="1"/>
    <col min="13826" max="13826" width="3" style="295" customWidth="1"/>
    <col min="13827" max="13828" width="2.25" style="295" customWidth="1"/>
    <col min="13829" max="13832" width="4.125" style="295" customWidth="1"/>
    <col min="13833" max="13833" width="1.25" style="295" customWidth="1"/>
    <col min="13834" max="13847" width="4.125" style="295" customWidth="1"/>
    <col min="13848" max="13848" width="2.625" style="295" customWidth="1"/>
    <col min="13849" max="14080" width="3.75" style="295" customWidth="1"/>
    <col min="14081" max="14081" width="2.5" style="295" customWidth="1"/>
    <col min="14082" max="14082" width="3" style="295" customWidth="1"/>
    <col min="14083" max="14084" width="2.25" style="295" customWidth="1"/>
    <col min="14085" max="14088" width="4.125" style="295" customWidth="1"/>
    <col min="14089" max="14089" width="1.25" style="295" customWidth="1"/>
    <col min="14090" max="14103" width="4.125" style="295" customWidth="1"/>
    <col min="14104" max="14104" width="2.625" style="295" customWidth="1"/>
    <col min="14105" max="14336" width="3.75" style="295" customWidth="1"/>
    <col min="14337" max="14337" width="2.5" style="295" customWidth="1"/>
    <col min="14338" max="14338" width="3" style="295" customWidth="1"/>
    <col min="14339" max="14340" width="2.25" style="295" customWidth="1"/>
    <col min="14341" max="14344" width="4.125" style="295" customWidth="1"/>
    <col min="14345" max="14345" width="1.25" style="295" customWidth="1"/>
    <col min="14346" max="14359" width="4.125" style="295" customWidth="1"/>
    <col min="14360" max="14360" width="2.625" style="295" customWidth="1"/>
    <col min="14361" max="14592" width="3.75" style="295" customWidth="1"/>
    <col min="14593" max="14593" width="2.5" style="295" customWidth="1"/>
    <col min="14594" max="14594" width="3" style="295" customWidth="1"/>
    <col min="14595" max="14596" width="2.25" style="295" customWidth="1"/>
    <col min="14597" max="14600" width="4.125" style="295" customWidth="1"/>
    <col min="14601" max="14601" width="1.25" style="295" customWidth="1"/>
    <col min="14602" max="14615" width="4.125" style="295" customWidth="1"/>
    <col min="14616" max="14616" width="2.625" style="295" customWidth="1"/>
    <col min="14617" max="14848" width="3.75" style="295" customWidth="1"/>
    <col min="14849" max="14849" width="2.5" style="295" customWidth="1"/>
    <col min="14850" max="14850" width="3" style="295" customWidth="1"/>
    <col min="14851" max="14852" width="2.25" style="295" customWidth="1"/>
    <col min="14853" max="14856" width="4.125" style="295" customWidth="1"/>
    <col min="14857" max="14857" width="1.25" style="295" customWidth="1"/>
    <col min="14858" max="14871" width="4.125" style="295" customWidth="1"/>
    <col min="14872" max="14872" width="2.625" style="295" customWidth="1"/>
    <col min="14873" max="15104" width="3.75" style="295" customWidth="1"/>
    <col min="15105" max="15105" width="2.5" style="295" customWidth="1"/>
    <col min="15106" max="15106" width="3" style="295" customWidth="1"/>
    <col min="15107" max="15108" width="2.25" style="295" customWidth="1"/>
    <col min="15109" max="15112" width="4.125" style="295" customWidth="1"/>
    <col min="15113" max="15113" width="1.25" style="295" customWidth="1"/>
    <col min="15114" max="15127" width="4.125" style="295" customWidth="1"/>
    <col min="15128" max="15128" width="2.625" style="295" customWidth="1"/>
    <col min="15129" max="15360" width="3.75" style="295" customWidth="1"/>
    <col min="15361" max="15361" width="2.5" style="295" customWidth="1"/>
    <col min="15362" max="15362" width="3" style="295" customWidth="1"/>
    <col min="15363" max="15364" width="2.25" style="295" customWidth="1"/>
    <col min="15365" max="15368" width="4.125" style="295" customWidth="1"/>
    <col min="15369" max="15369" width="1.25" style="295" customWidth="1"/>
    <col min="15370" max="15383" width="4.125" style="295" customWidth="1"/>
    <col min="15384" max="15384" width="2.625" style="295" customWidth="1"/>
    <col min="15385" max="15616" width="3.75" style="295" customWidth="1"/>
    <col min="15617" max="15617" width="2.5" style="295" customWidth="1"/>
    <col min="15618" max="15618" width="3" style="295" customWidth="1"/>
    <col min="15619" max="15620" width="2.25" style="295" customWidth="1"/>
    <col min="15621" max="15624" width="4.125" style="295" customWidth="1"/>
    <col min="15625" max="15625" width="1.25" style="295" customWidth="1"/>
    <col min="15626" max="15639" width="4.125" style="295" customWidth="1"/>
    <col min="15640" max="15640" width="2.625" style="295" customWidth="1"/>
    <col min="15641" max="15872" width="3.75" style="295" customWidth="1"/>
    <col min="15873" max="15873" width="2.5" style="295" customWidth="1"/>
    <col min="15874" max="15874" width="3" style="295" customWidth="1"/>
    <col min="15875" max="15876" width="2.25" style="295" customWidth="1"/>
    <col min="15877" max="15880" width="4.125" style="295" customWidth="1"/>
    <col min="15881" max="15881" width="1.25" style="295" customWidth="1"/>
    <col min="15882" max="15895" width="4.125" style="295" customWidth="1"/>
    <col min="15896" max="15896" width="2.625" style="295" customWidth="1"/>
    <col min="15897" max="16128" width="3.75" style="295" customWidth="1"/>
    <col min="16129" max="16129" width="2.5" style="295" customWidth="1"/>
    <col min="16130" max="16130" width="3" style="295" customWidth="1"/>
    <col min="16131" max="16132" width="2.25" style="295" customWidth="1"/>
    <col min="16133" max="16136" width="4.125" style="295" customWidth="1"/>
    <col min="16137" max="16137" width="1.25" style="295" customWidth="1"/>
    <col min="16138" max="16151" width="4.125" style="295" customWidth="1"/>
    <col min="16152" max="16152" width="2.625" style="295" customWidth="1"/>
    <col min="16153" max="16384" width="3.75" style="295" customWidth="1"/>
  </cols>
  <sheetData>
    <row r="1" spans="1:24" ht="17.25" customHeight="1">
      <c r="A1" s="298" t="s">
        <v>2841</v>
      </c>
    </row>
    <row r="2" spans="1:24" ht="17.25" customHeight="1">
      <c r="A2" s="813" t="s">
        <v>3045</v>
      </c>
      <c r="B2" s="813"/>
      <c r="C2" s="813"/>
      <c r="D2" s="813"/>
      <c r="E2" s="813"/>
      <c r="F2" s="813"/>
      <c r="G2" s="813"/>
      <c r="H2" s="813"/>
      <c r="I2" s="813"/>
      <c r="J2" s="813"/>
      <c r="K2" s="813"/>
      <c r="L2" s="813"/>
      <c r="M2" s="813"/>
      <c r="N2" s="813"/>
      <c r="O2" s="813"/>
      <c r="P2" s="813"/>
      <c r="Q2" s="813"/>
      <c r="R2" s="813"/>
      <c r="S2" s="813"/>
      <c r="T2" s="813"/>
      <c r="U2" s="813"/>
      <c r="V2" s="813"/>
      <c r="W2" s="813"/>
      <c r="X2" s="813"/>
    </row>
    <row r="3" spans="1:24" ht="19.5" customHeight="1"/>
    <row r="4" spans="1:24" ht="17.25" customHeight="1">
      <c r="Q4" s="451"/>
      <c r="R4" s="817"/>
      <c r="S4" s="817"/>
      <c r="T4" s="451" t="s">
        <v>464</v>
      </c>
      <c r="U4" s="464"/>
      <c r="V4" s="451" t="s">
        <v>1</v>
      </c>
      <c r="W4" s="464"/>
      <c r="X4" s="451" t="s">
        <v>465</v>
      </c>
    </row>
    <row r="5" spans="1:24" ht="20.25" customHeight="1"/>
    <row r="6" spans="1:24" ht="17.25" customHeight="1">
      <c r="C6" s="405" t="str">
        <f ca="1">cst_Pre_Corp__SHINSEI</f>
        <v>一般財団法人静岡県建築住宅まちづくりセンター</v>
      </c>
    </row>
    <row r="7" spans="1:24" ht="17.25" customHeight="1">
      <c r="C7" s="405" t="str">
        <f ca="1">cst_Pre_Daihyou__SHINSEI</f>
        <v>理事長 　柳　敏幸</v>
      </c>
      <c r="J7" s="295" t="s">
        <v>2796</v>
      </c>
    </row>
    <row r="8" spans="1:24" ht="9" customHeight="1"/>
    <row r="9" spans="1:24" ht="17.25" customHeight="1">
      <c r="P9" s="294" t="s">
        <v>3041</v>
      </c>
      <c r="Q9" s="785" t="str">
        <f>cst_wskakunin_owner1__address</f>
        <v>静岡県静岡市葵区新伝馬二丁目8-41-101</v>
      </c>
      <c r="R9" s="785"/>
      <c r="S9" s="785"/>
      <c r="T9" s="785"/>
      <c r="U9" s="785"/>
      <c r="V9" s="785"/>
      <c r="W9" s="785"/>
      <c r="X9" s="785"/>
    </row>
    <row r="10" spans="1:24" ht="17.25" customHeight="1">
      <c r="N10" s="295" t="s">
        <v>2832</v>
      </c>
      <c r="Q10" s="785"/>
      <c r="R10" s="785"/>
      <c r="S10" s="785"/>
      <c r="T10" s="785"/>
      <c r="U10" s="785"/>
      <c r="V10" s="785"/>
      <c r="W10" s="785"/>
      <c r="X10" s="785"/>
    </row>
    <row r="11" spans="1:24" ht="17.25" customHeight="1">
      <c r="P11" s="294" t="s">
        <v>3042</v>
      </c>
      <c r="Q11" s="785" t="str">
        <f>cst_wskakunin_owner1__space3</f>
        <v>菅野　幸子</v>
      </c>
      <c r="R11" s="785"/>
      <c r="S11" s="785"/>
      <c r="T11" s="785"/>
      <c r="U11" s="785"/>
      <c r="V11" s="785"/>
      <c r="W11" s="785"/>
      <c r="X11" s="785"/>
    </row>
    <row r="12" spans="1:24" ht="22.5" customHeight="1">
      <c r="Q12" s="785"/>
      <c r="R12" s="785"/>
      <c r="S12" s="785"/>
      <c r="T12" s="785"/>
      <c r="U12" s="785"/>
      <c r="V12" s="785"/>
      <c r="W12" s="785"/>
      <c r="X12" s="785"/>
    </row>
    <row r="13" spans="1:24" ht="17.25" customHeight="1">
      <c r="B13" s="818">
        <f>cst_shinsei_HIKIUKE_DATE</f>
        <v>45023</v>
      </c>
      <c r="C13" s="818"/>
      <c r="D13" s="295" t="s">
        <v>464</v>
      </c>
      <c r="E13" s="462">
        <f>cst_shinsei_HIKIUKE_DATE</f>
        <v>45023</v>
      </c>
      <c r="F13" s="295" t="s">
        <v>1</v>
      </c>
      <c r="G13" s="463">
        <f>cst_shinsei_HIKIUKE_DATE</f>
        <v>45023</v>
      </c>
      <c r="H13" s="295" t="s">
        <v>465</v>
      </c>
      <c r="J13" s="295" t="s">
        <v>3036</v>
      </c>
    </row>
    <row r="14" spans="1:24" ht="17.25" customHeight="1">
      <c r="B14" s="295" t="s">
        <v>3035</v>
      </c>
    </row>
    <row r="15" spans="1:24" ht="21.75" customHeight="1"/>
    <row r="16" spans="1:24" ht="39.75" customHeight="1">
      <c r="B16" s="299">
        <v>1</v>
      </c>
      <c r="C16" s="809" t="s">
        <v>2834</v>
      </c>
      <c r="D16" s="809"/>
      <c r="E16" s="809"/>
      <c r="F16" s="809"/>
      <c r="G16" s="809"/>
      <c r="H16" s="809"/>
      <c r="I16" s="300"/>
      <c r="J16" s="814" t="str">
        <f>cst_wskakunin_owner1__space</f>
        <v>菅野　幸子</v>
      </c>
      <c r="K16" s="815"/>
      <c r="L16" s="815"/>
      <c r="M16" s="815"/>
      <c r="N16" s="815"/>
      <c r="O16" s="815"/>
      <c r="P16" s="815"/>
      <c r="Q16" s="815"/>
      <c r="R16" s="815"/>
      <c r="S16" s="815"/>
      <c r="T16" s="815"/>
      <c r="U16" s="815"/>
      <c r="V16" s="815"/>
      <c r="W16" s="816"/>
    </row>
    <row r="17" spans="1:24" ht="39.75" customHeight="1">
      <c r="B17" s="301">
        <v>2</v>
      </c>
      <c r="C17" s="809" t="s">
        <v>20</v>
      </c>
      <c r="D17" s="809"/>
      <c r="E17" s="809"/>
      <c r="F17" s="809"/>
      <c r="G17" s="809"/>
      <c r="H17" s="809"/>
      <c r="I17" s="302"/>
      <c r="J17" s="810" t="str">
        <f ca="1">IF(cst_ISSUE_NO_select="","第　　　　　　　号",IF(COUNTIF(cst_ISSUE_NO_select,"*第*")&gt;0,"","第")&amp;cst_ISSUE_NO_select&amp;IF(COUNTIF(cst_ISSUE_NO_select,"*号*")&gt;0,"","号"))</f>
        <v>第 2022確認建築静建住ま10505 号</v>
      </c>
      <c r="K17" s="811"/>
      <c r="L17" s="811"/>
      <c r="M17" s="811"/>
      <c r="N17" s="811"/>
      <c r="O17" s="811"/>
      <c r="P17" s="811"/>
      <c r="Q17" s="811"/>
      <c r="R17" s="811"/>
      <c r="S17" s="811"/>
      <c r="T17" s="811"/>
      <c r="U17" s="811"/>
      <c r="V17" s="811"/>
      <c r="W17" s="812"/>
    </row>
    <row r="18" spans="1:24" ht="39.75" customHeight="1">
      <c r="B18" s="301">
        <v>3</v>
      </c>
      <c r="C18" s="809" t="s">
        <v>21</v>
      </c>
      <c r="D18" s="809"/>
      <c r="E18" s="809"/>
      <c r="F18" s="809"/>
      <c r="G18" s="809"/>
      <c r="H18" s="809"/>
      <c r="I18" s="302"/>
      <c r="J18" s="828">
        <f ca="1">cst_ISSUE_DATE_select</f>
        <v>44958</v>
      </c>
      <c r="K18" s="829"/>
      <c r="L18" s="458" t="s">
        <v>464</v>
      </c>
      <c r="M18" s="460">
        <f ca="1">cst_ISSUE_DATE_select</f>
        <v>44958</v>
      </c>
      <c r="N18" s="458" t="s">
        <v>1</v>
      </c>
      <c r="O18" s="461">
        <f ca="1">cst_ISSUE_DATE_select</f>
        <v>44958</v>
      </c>
      <c r="P18" s="458" t="s">
        <v>465</v>
      </c>
      <c r="Q18" s="458"/>
      <c r="R18" s="458"/>
      <c r="S18" s="458"/>
      <c r="T18" s="458"/>
      <c r="U18" s="458"/>
      <c r="V18" s="458"/>
      <c r="W18" s="459"/>
    </row>
    <row r="19" spans="1:24" ht="39.75" customHeight="1">
      <c r="B19" s="301">
        <v>4</v>
      </c>
      <c r="C19" s="809" t="s">
        <v>2837</v>
      </c>
      <c r="D19" s="809"/>
      <c r="E19" s="809"/>
      <c r="F19" s="809"/>
      <c r="G19" s="809"/>
      <c r="H19" s="809"/>
      <c r="I19" s="302"/>
      <c r="J19" s="814" t="str">
        <f>cst_wskakunin_BUILD__address</f>
        <v>静岡県静岡市葵区平和二丁目215-8</v>
      </c>
      <c r="K19" s="815"/>
      <c r="L19" s="815"/>
      <c r="M19" s="815"/>
      <c r="N19" s="815"/>
      <c r="O19" s="815"/>
      <c r="P19" s="815"/>
      <c r="Q19" s="815"/>
      <c r="R19" s="815"/>
      <c r="S19" s="815"/>
      <c r="T19" s="815"/>
      <c r="U19" s="815"/>
      <c r="V19" s="815"/>
      <c r="W19" s="816"/>
    </row>
    <row r="20" spans="1:24" ht="91.5" customHeight="1" thickBot="1">
      <c r="B20" s="299">
        <v>5</v>
      </c>
      <c r="C20" s="824" t="s">
        <v>2838</v>
      </c>
      <c r="D20" s="824"/>
      <c r="E20" s="824"/>
      <c r="F20" s="824"/>
      <c r="G20" s="824"/>
      <c r="H20" s="824"/>
      <c r="I20" s="303"/>
      <c r="J20" s="825"/>
      <c r="K20" s="826"/>
      <c r="L20" s="826"/>
      <c r="M20" s="826"/>
      <c r="N20" s="826"/>
      <c r="O20" s="826"/>
      <c r="P20" s="826"/>
      <c r="Q20" s="826"/>
      <c r="R20" s="826"/>
      <c r="S20" s="826"/>
      <c r="T20" s="826"/>
      <c r="U20" s="826"/>
      <c r="V20" s="826"/>
      <c r="W20" s="827"/>
    </row>
    <row r="21" spans="1:24" ht="120" customHeight="1" thickTop="1">
      <c r="B21" s="819" t="s">
        <v>2839</v>
      </c>
      <c r="C21" s="820"/>
      <c r="D21" s="821"/>
      <c r="E21" s="822"/>
      <c r="F21" s="822"/>
      <c r="G21" s="822"/>
      <c r="H21" s="822"/>
      <c r="I21" s="822"/>
      <c r="J21" s="822"/>
      <c r="K21" s="822"/>
      <c r="L21" s="822"/>
      <c r="M21" s="823"/>
      <c r="N21" s="304" t="s">
        <v>2805</v>
      </c>
      <c r="O21" s="821"/>
      <c r="P21" s="822"/>
      <c r="Q21" s="822"/>
      <c r="R21" s="823"/>
      <c r="S21" s="304" t="s">
        <v>2806</v>
      </c>
      <c r="T21" s="821"/>
      <c r="U21" s="822"/>
      <c r="V21" s="822"/>
      <c r="W21" s="823"/>
    </row>
    <row r="22" spans="1:24" ht="19.5" customHeight="1"/>
    <row r="23" spans="1:24" ht="20.25" customHeight="1">
      <c r="A23" s="295" t="s">
        <v>484</v>
      </c>
      <c r="C23" s="830" t="s">
        <v>3186</v>
      </c>
      <c r="D23" s="830"/>
      <c r="E23" s="830"/>
      <c r="F23" s="830"/>
      <c r="G23" s="830"/>
      <c r="H23" s="830"/>
      <c r="I23" s="830"/>
      <c r="J23" s="830"/>
      <c r="K23" s="830"/>
      <c r="L23" s="830"/>
      <c r="M23" s="830"/>
      <c r="N23" s="830"/>
      <c r="O23" s="830"/>
      <c r="P23" s="830"/>
      <c r="Q23" s="830"/>
      <c r="R23" s="830"/>
      <c r="S23" s="830"/>
      <c r="T23" s="830"/>
      <c r="U23" s="830"/>
      <c r="V23" s="830"/>
      <c r="W23" s="830"/>
      <c r="X23" s="830"/>
    </row>
    <row r="24" spans="1:24" ht="20.25" customHeight="1">
      <c r="C24" s="830" t="s">
        <v>3188</v>
      </c>
      <c r="D24" s="830"/>
      <c r="E24" s="830"/>
      <c r="F24" s="830"/>
      <c r="G24" s="830"/>
      <c r="H24" s="830"/>
      <c r="I24" s="830"/>
      <c r="J24" s="830"/>
      <c r="K24" s="830"/>
      <c r="L24" s="830"/>
      <c r="M24" s="830"/>
      <c r="N24" s="830"/>
      <c r="O24" s="830"/>
      <c r="P24" s="830"/>
      <c r="Q24" s="830"/>
      <c r="R24" s="830"/>
      <c r="S24" s="830"/>
      <c r="T24" s="830"/>
      <c r="U24" s="830"/>
      <c r="V24" s="830"/>
      <c r="W24" s="830"/>
      <c r="X24" s="830"/>
    </row>
    <row r="25" spans="1:24" ht="20.25" customHeight="1">
      <c r="C25" s="295" t="s">
        <v>3187</v>
      </c>
    </row>
    <row r="26" spans="1:24" ht="20.25" customHeight="1"/>
  </sheetData>
  <mergeCells count="21">
    <mergeCell ref="C19:H19"/>
    <mergeCell ref="J19:W19"/>
    <mergeCell ref="C20:H20"/>
    <mergeCell ref="J20:W20"/>
    <mergeCell ref="J18:K18"/>
    <mergeCell ref="C23:X23"/>
    <mergeCell ref="C24:X24"/>
    <mergeCell ref="C17:H17"/>
    <mergeCell ref="J17:W17"/>
    <mergeCell ref="A2:X2"/>
    <mergeCell ref="C16:H16"/>
    <mergeCell ref="J16:W16"/>
    <mergeCell ref="Q9:X10"/>
    <mergeCell ref="Q11:X12"/>
    <mergeCell ref="R4:S4"/>
    <mergeCell ref="B13:C13"/>
    <mergeCell ref="B21:C21"/>
    <mergeCell ref="D21:M21"/>
    <mergeCell ref="O21:R21"/>
    <mergeCell ref="T21:W21"/>
    <mergeCell ref="C18:H18"/>
  </mergeCells>
  <phoneticPr fontId="57"/>
  <printOptions horizontalCentered="1"/>
  <pageMargins left="0.39370078740157483" right="0.39370078740157483" top="0.6692913385826772" bottom="0.74803149606299213"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75" zoomScaleNormal="75" workbookViewId="0"/>
  </sheetViews>
  <sheetFormatPr defaultColWidth="3.75" defaultRowHeight="17.25" customHeight="1"/>
  <cols>
    <col min="1" max="1" width="2.5" style="295" customWidth="1"/>
    <col min="2" max="2" width="3" style="295" customWidth="1"/>
    <col min="3" max="3" width="2.75" style="295" customWidth="1"/>
    <col min="4" max="4" width="3.375" style="295" customWidth="1"/>
    <col min="5" max="22" width="4.125" style="295" customWidth="1"/>
    <col min="23" max="23" width="2.625" style="295" customWidth="1"/>
    <col min="24" max="255" width="3.75" style="295" customWidth="1"/>
    <col min="256" max="256" width="2.5" style="295" customWidth="1"/>
    <col min="257" max="257" width="3" style="295" customWidth="1"/>
    <col min="258" max="259" width="2.25" style="295" customWidth="1"/>
    <col min="260" max="263" width="4.125" style="295" customWidth="1"/>
    <col min="264" max="264" width="1.25" style="295" customWidth="1"/>
    <col min="265" max="278" width="4.125" style="295" customWidth="1"/>
    <col min="279" max="279" width="2.625" style="295" customWidth="1"/>
    <col min="280" max="511" width="3.75" style="295" customWidth="1"/>
    <col min="512" max="512" width="2.5" style="295" customWidth="1"/>
    <col min="513" max="513" width="3" style="295" customWidth="1"/>
    <col min="514" max="515" width="2.25" style="295" customWidth="1"/>
    <col min="516" max="519" width="4.125" style="295" customWidth="1"/>
    <col min="520" max="520" width="1.25" style="295" customWidth="1"/>
    <col min="521" max="534" width="4.125" style="295" customWidth="1"/>
    <col min="535" max="535" width="2.625" style="295" customWidth="1"/>
    <col min="536" max="767" width="3.75" style="295" customWidth="1"/>
    <col min="768" max="768" width="2.5" style="295" customWidth="1"/>
    <col min="769" max="769" width="3" style="295" customWidth="1"/>
    <col min="770" max="771" width="2.25" style="295" customWidth="1"/>
    <col min="772" max="775" width="4.125" style="295" customWidth="1"/>
    <col min="776" max="776" width="1.25" style="295" customWidth="1"/>
    <col min="777" max="790" width="4.125" style="295" customWidth="1"/>
    <col min="791" max="791" width="2.625" style="295" customWidth="1"/>
    <col min="792" max="1023" width="3.75" style="295" customWidth="1"/>
    <col min="1024" max="1024" width="2.5" style="295" customWidth="1"/>
    <col min="1025" max="1025" width="3" style="295" customWidth="1"/>
    <col min="1026" max="1027" width="2.25" style="295" customWidth="1"/>
    <col min="1028" max="1031" width="4.125" style="295" customWidth="1"/>
    <col min="1032" max="1032" width="1.25" style="295" customWidth="1"/>
    <col min="1033" max="1046" width="4.125" style="295" customWidth="1"/>
    <col min="1047" max="1047" width="2.625" style="295" customWidth="1"/>
    <col min="1048" max="1279" width="3.75" style="295" customWidth="1"/>
    <col min="1280" max="1280" width="2.5" style="295" customWidth="1"/>
    <col min="1281" max="1281" width="3" style="295" customWidth="1"/>
    <col min="1282" max="1283" width="2.25" style="295" customWidth="1"/>
    <col min="1284" max="1287" width="4.125" style="295" customWidth="1"/>
    <col min="1288" max="1288" width="1.25" style="295" customWidth="1"/>
    <col min="1289" max="1302" width="4.125" style="295" customWidth="1"/>
    <col min="1303" max="1303" width="2.625" style="295" customWidth="1"/>
    <col min="1304" max="1535" width="3.75" style="295" customWidth="1"/>
    <col min="1536" max="1536" width="2.5" style="295" customWidth="1"/>
    <col min="1537" max="1537" width="3" style="295" customWidth="1"/>
    <col min="1538" max="1539" width="2.25" style="295" customWidth="1"/>
    <col min="1540" max="1543" width="4.125" style="295" customWidth="1"/>
    <col min="1544" max="1544" width="1.25" style="295" customWidth="1"/>
    <col min="1545" max="1558" width="4.125" style="295" customWidth="1"/>
    <col min="1559" max="1559" width="2.625" style="295" customWidth="1"/>
    <col min="1560" max="1791" width="3.75" style="295" customWidth="1"/>
    <col min="1792" max="1792" width="2.5" style="295" customWidth="1"/>
    <col min="1793" max="1793" width="3" style="295" customWidth="1"/>
    <col min="1794" max="1795" width="2.25" style="295" customWidth="1"/>
    <col min="1796" max="1799" width="4.125" style="295" customWidth="1"/>
    <col min="1800" max="1800" width="1.25" style="295" customWidth="1"/>
    <col min="1801" max="1814" width="4.125" style="295" customWidth="1"/>
    <col min="1815" max="1815" width="2.625" style="295" customWidth="1"/>
    <col min="1816" max="2047" width="3.75" style="295" customWidth="1"/>
    <col min="2048" max="2048" width="2.5" style="295" customWidth="1"/>
    <col min="2049" max="2049" width="3" style="295" customWidth="1"/>
    <col min="2050" max="2051" width="2.25" style="295" customWidth="1"/>
    <col min="2052" max="2055" width="4.125" style="295" customWidth="1"/>
    <col min="2056" max="2056" width="1.25" style="295" customWidth="1"/>
    <col min="2057" max="2070" width="4.125" style="295" customWidth="1"/>
    <col min="2071" max="2071" width="2.625" style="295" customWidth="1"/>
    <col min="2072" max="2303" width="3.75" style="295" customWidth="1"/>
    <col min="2304" max="2304" width="2.5" style="295" customWidth="1"/>
    <col min="2305" max="2305" width="3" style="295" customWidth="1"/>
    <col min="2306" max="2307" width="2.25" style="295" customWidth="1"/>
    <col min="2308" max="2311" width="4.125" style="295" customWidth="1"/>
    <col min="2312" max="2312" width="1.25" style="295" customWidth="1"/>
    <col min="2313" max="2326" width="4.125" style="295" customWidth="1"/>
    <col min="2327" max="2327" width="2.625" style="295" customWidth="1"/>
    <col min="2328" max="2559" width="3.75" style="295" customWidth="1"/>
    <col min="2560" max="2560" width="2.5" style="295" customWidth="1"/>
    <col min="2561" max="2561" width="3" style="295" customWidth="1"/>
    <col min="2562" max="2563" width="2.25" style="295" customWidth="1"/>
    <col min="2564" max="2567" width="4.125" style="295" customWidth="1"/>
    <col min="2568" max="2568" width="1.25" style="295" customWidth="1"/>
    <col min="2569" max="2582" width="4.125" style="295" customWidth="1"/>
    <col min="2583" max="2583" width="2.625" style="295" customWidth="1"/>
    <col min="2584" max="2815" width="3.75" style="295" customWidth="1"/>
    <col min="2816" max="2816" width="2.5" style="295" customWidth="1"/>
    <col min="2817" max="2817" width="3" style="295" customWidth="1"/>
    <col min="2818" max="2819" width="2.25" style="295" customWidth="1"/>
    <col min="2820" max="2823" width="4.125" style="295" customWidth="1"/>
    <col min="2824" max="2824" width="1.25" style="295" customWidth="1"/>
    <col min="2825" max="2838" width="4.125" style="295" customWidth="1"/>
    <col min="2839" max="2839" width="2.625" style="295" customWidth="1"/>
    <col min="2840" max="3071" width="3.75" style="295" customWidth="1"/>
    <col min="3072" max="3072" width="2.5" style="295" customWidth="1"/>
    <col min="3073" max="3073" width="3" style="295" customWidth="1"/>
    <col min="3074" max="3075" width="2.25" style="295" customWidth="1"/>
    <col min="3076" max="3079" width="4.125" style="295" customWidth="1"/>
    <col min="3080" max="3080" width="1.25" style="295" customWidth="1"/>
    <col min="3081" max="3094" width="4.125" style="295" customWidth="1"/>
    <col min="3095" max="3095" width="2.625" style="295" customWidth="1"/>
    <col min="3096" max="3327" width="3.75" style="295" customWidth="1"/>
    <col min="3328" max="3328" width="2.5" style="295" customWidth="1"/>
    <col min="3329" max="3329" width="3" style="295" customWidth="1"/>
    <col min="3330" max="3331" width="2.25" style="295" customWidth="1"/>
    <col min="3332" max="3335" width="4.125" style="295" customWidth="1"/>
    <col min="3336" max="3336" width="1.25" style="295" customWidth="1"/>
    <col min="3337" max="3350" width="4.125" style="295" customWidth="1"/>
    <col min="3351" max="3351" width="2.625" style="295" customWidth="1"/>
    <col min="3352" max="3583" width="3.75" style="295" customWidth="1"/>
    <col min="3584" max="3584" width="2.5" style="295" customWidth="1"/>
    <col min="3585" max="3585" width="3" style="295" customWidth="1"/>
    <col min="3586" max="3587" width="2.25" style="295" customWidth="1"/>
    <col min="3588" max="3591" width="4.125" style="295" customWidth="1"/>
    <col min="3592" max="3592" width="1.25" style="295" customWidth="1"/>
    <col min="3593" max="3606" width="4.125" style="295" customWidth="1"/>
    <col min="3607" max="3607" width="2.625" style="295" customWidth="1"/>
    <col min="3608" max="3839" width="3.75" style="295" customWidth="1"/>
    <col min="3840" max="3840" width="2.5" style="295" customWidth="1"/>
    <col min="3841" max="3841" width="3" style="295" customWidth="1"/>
    <col min="3842" max="3843" width="2.25" style="295" customWidth="1"/>
    <col min="3844" max="3847" width="4.125" style="295" customWidth="1"/>
    <col min="3848" max="3848" width="1.25" style="295" customWidth="1"/>
    <col min="3849" max="3862" width="4.125" style="295" customWidth="1"/>
    <col min="3863" max="3863" width="2.625" style="295" customWidth="1"/>
    <col min="3864" max="4095" width="3.75" style="295" customWidth="1"/>
    <col min="4096" max="4096" width="2.5" style="295" customWidth="1"/>
    <col min="4097" max="4097" width="3" style="295" customWidth="1"/>
    <col min="4098" max="4099" width="2.25" style="295" customWidth="1"/>
    <col min="4100" max="4103" width="4.125" style="295" customWidth="1"/>
    <col min="4104" max="4104" width="1.25" style="295" customWidth="1"/>
    <col min="4105" max="4118" width="4.125" style="295" customWidth="1"/>
    <col min="4119" max="4119" width="2.625" style="295" customWidth="1"/>
    <col min="4120" max="4351" width="3.75" style="295" customWidth="1"/>
    <col min="4352" max="4352" width="2.5" style="295" customWidth="1"/>
    <col min="4353" max="4353" width="3" style="295" customWidth="1"/>
    <col min="4354" max="4355" width="2.25" style="295" customWidth="1"/>
    <col min="4356" max="4359" width="4.125" style="295" customWidth="1"/>
    <col min="4360" max="4360" width="1.25" style="295" customWidth="1"/>
    <col min="4361" max="4374" width="4.125" style="295" customWidth="1"/>
    <col min="4375" max="4375" width="2.625" style="295" customWidth="1"/>
    <col min="4376" max="4607" width="3.75" style="295" customWidth="1"/>
    <col min="4608" max="4608" width="2.5" style="295" customWidth="1"/>
    <col min="4609" max="4609" width="3" style="295" customWidth="1"/>
    <col min="4610" max="4611" width="2.25" style="295" customWidth="1"/>
    <col min="4612" max="4615" width="4.125" style="295" customWidth="1"/>
    <col min="4616" max="4616" width="1.25" style="295" customWidth="1"/>
    <col min="4617" max="4630" width="4.125" style="295" customWidth="1"/>
    <col min="4631" max="4631" width="2.625" style="295" customWidth="1"/>
    <col min="4632" max="4863" width="3.75" style="295" customWidth="1"/>
    <col min="4864" max="4864" width="2.5" style="295" customWidth="1"/>
    <col min="4865" max="4865" width="3" style="295" customWidth="1"/>
    <col min="4866" max="4867" width="2.25" style="295" customWidth="1"/>
    <col min="4868" max="4871" width="4.125" style="295" customWidth="1"/>
    <col min="4872" max="4872" width="1.25" style="295" customWidth="1"/>
    <col min="4873" max="4886" width="4.125" style="295" customWidth="1"/>
    <col min="4887" max="4887" width="2.625" style="295" customWidth="1"/>
    <col min="4888" max="5119" width="3.75" style="295" customWidth="1"/>
    <col min="5120" max="5120" width="2.5" style="295" customWidth="1"/>
    <col min="5121" max="5121" width="3" style="295" customWidth="1"/>
    <col min="5122" max="5123" width="2.25" style="295" customWidth="1"/>
    <col min="5124" max="5127" width="4.125" style="295" customWidth="1"/>
    <col min="5128" max="5128" width="1.25" style="295" customWidth="1"/>
    <col min="5129" max="5142" width="4.125" style="295" customWidth="1"/>
    <col min="5143" max="5143" width="2.625" style="295" customWidth="1"/>
    <col min="5144" max="5375" width="3.75" style="295" customWidth="1"/>
    <col min="5376" max="5376" width="2.5" style="295" customWidth="1"/>
    <col min="5377" max="5377" width="3" style="295" customWidth="1"/>
    <col min="5378" max="5379" width="2.25" style="295" customWidth="1"/>
    <col min="5380" max="5383" width="4.125" style="295" customWidth="1"/>
    <col min="5384" max="5384" width="1.25" style="295" customWidth="1"/>
    <col min="5385" max="5398" width="4.125" style="295" customWidth="1"/>
    <col min="5399" max="5399" width="2.625" style="295" customWidth="1"/>
    <col min="5400" max="5631" width="3.75" style="295" customWidth="1"/>
    <col min="5632" max="5632" width="2.5" style="295" customWidth="1"/>
    <col min="5633" max="5633" width="3" style="295" customWidth="1"/>
    <col min="5634" max="5635" width="2.25" style="295" customWidth="1"/>
    <col min="5636" max="5639" width="4.125" style="295" customWidth="1"/>
    <col min="5640" max="5640" width="1.25" style="295" customWidth="1"/>
    <col min="5641" max="5654" width="4.125" style="295" customWidth="1"/>
    <col min="5655" max="5655" width="2.625" style="295" customWidth="1"/>
    <col min="5656" max="5887" width="3.75" style="295" customWidth="1"/>
    <col min="5888" max="5888" width="2.5" style="295" customWidth="1"/>
    <col min="5889" max="5889" width="3" style="295" customWidth="1"/>
    <col min="5890" max="5891" width="2.25" style="295" customWidth="1"/>
    <col min="5892" max="5895" width="4.125" style="295" customWidth="1"/>
    <col min="5896" max="5896" width="1.25" style="295" customWidth="1"/>
    <col min="5897" max="5910" width="4.125" style="295" customWidth="1"/>
    <col min="5911" max="5911" width="2.625" style="295" customWidth="1"/>
    <col min="5912" max="6143" width="3.75" style="295" customWidth="1"/>
    <col min="6144" max="6144" width="2.5" style="295" customWidth="1"/>
    <col min="6145" max="6145" width="3" style="295" customWidth="1"/>
    <col min="6146" max="6147" width="2.25" style="295" customWidth="1"/>
    <col min="6148" max="6151" width="4.125" style="295" customWidth="1"/>
    <col min="6152" max="6152" width="1.25" style="295" customWidth="1"/>
    <col min="6153" max="6166" width="4.125" style="295" customWidth="1"/>
    <col min="6167" max="6167" width="2.625" style="295" customWidth="1"/>
    <col min="6168" max="6399" width="3.75" style="295" customWidth="1"/>
    <col min="6400" max="6400" width="2.5" style="295" customWidth="1"/>
    <col min="6401" max="6401" width="3" style="295" customWidth="1"/>
    <col min="6402" max="6403" width="2.25" style="295" customWidth="1"/>
    <col min="6404" max="6407" width="4.125" style="295" customWidth="1"/>
    <col min="6408" max="6408" width="1.25" style="295" customWidth="1"/>
    <col min="6409" max="6422" width="4.125" style="295" customWidth="1"/>
    <col min="6423" max="6423" width="2.625" style="295" customWidth="1"/>
    <col min="6424" max="6655" width="3.75" style="295" customWidth="1"/>
    <col min="6656" max="6656" width="2.5" style="295" customWidth="1"/>
    <col min="6657" max="6657" width="3" style="295" customWidth="1"/>
    <col min="6658" max="6659" width="2.25" style="295" customWidth="1"/>
    <col min="6660" max="6663" width="4.125" style="295" customWidth="1"/>
    <col min="6664" max="6664" width="1.25" style="295" customWidth="1"/>
    <col min="6665" max="6678" width="4.125" style="295" customWidth="1"/>
    <col min="6679" max="6679" width="2.625" style="295" customWidth="1"/>
    <col min="6680" max="6911" width="3.75" style="295" customWidth="1"/>
    <col min="6912" max="6912" width="2.5" style="295" customWidth="1"/>
    <col min="6913" max="6913" width="3" style="295" customWidth="1"/>
    <col min="6914" max="6915" width="2.25" style="295" customWidth="1"/>
    <col min="6916" max="6919" width="4.125" style="295" customWidth="1"/>
    <col min="6920" max="6920" width="1.25" style="295" customWidth="1"/>
    <col min="6921" max="6934" width="4.125" style="295" customWidth="1"/>
    <col min="6935" max="6935" width="2.625" style="295" customWidth="1"/>
    <col min="6936" max="7167" width="3.75" style="295" customWidth="1"/>
    <col min="7168" max="7168" width="2.5" style="295" customWidth="1"/>
    <col min="7169" max="7169" width="3" style="295" customWidth="1"/>
    <col min="7170" max="7171" width="2.25" style="295" customWidth="1"/>
    <col min="7172" max="7175" width="4.125" style="295" customWidth="1"/>
    <col min="7176" max="7176" width="1.25" style="295" customWidth="1"/>
    <col min="7177" max="7190" width="4.125" style="295" customWidth="1"/>
    <col min="7191" max="7191" width="2.625" style="295" customWidth="1"/>
    <col min="7192" max="7423" width="3.75" style="295" customWidth="1"/>
    <col min="7424" max="7424" width="2.5" style="295" customWidth="1"/>
    <col min="7425" max="7425" width="3" style="295" customWidth="1"/>
    <col min="7426" max="7427" width="2.25" style="295" customWidth="1"/>
    <col min="7428" max="7431" width="4.125" style="295" customWidth="1"/>
    <col min="7432" max="7432" width="1.25" style="295" customWidth="1"/>
    <col min="7433" max="7446" width="4.125" style="295" customWidth="1"/>
    <col min="7447" max="7447" width="2.625" style="295" customWidth="1"/>
    <col min="7448" max="7679" width="3.75" style="295" customWidth="1"/>
    <col min="7680" max="7680" width="2.5" style="295" customWidth="1"/>
    <col min="7681" max="7681" width="3" style="295" customWidth="1"/>
    <col min="7682" max="7683" width="2.25" style="295" customWidth="1"/>
    <col min="7684" max="7687" width="4.125" style="295" customWidth="1"/>
    <col min="7688" max="7688" width="1.25" style="295" customWidth="1"/>
    <col min="7689" max="7702" width="4.125" style="295" customWidth="1"/>
    <col min="7703" max="7703" width="2.625" style="295" customWidth="1"/>
    <col min="7704" max="7935" width="3.75" style="295" customWidth="1"/>
    <col min="7936" max="7936" width="2.5" style="295" customWidth="1"/>
    <col min="7937" max="7937" width="3" style="295" customWidth="1"/>
    <col min="7938" max="7939" width="2.25" style="295" customWidth="1"/>
    <col min="7940" max="7943" width="4.125" style="295" customWidth="1"/>
    <col min="7944" max="7944" width="1.25" style="295" customWidth="1"/>
    <col min="7945" max="7958" width="4.125" style="295" customWidth="1"/>
    <col min="7959" max="7959" width="2.625" style="295" customWidth="1"/>
    <col min="7960" max="8191" width="3.75" style="295" customWidth="1"/>
    <col min="8192" max="8192" width="2.5" style="295" customWidth="1"/>
    <col min="8193" max="8193" width="3" style="295" customWidth="1"/>
    <col min="8194" max="8195" width="2.25" style="295" customWidth="1"/>
    <col min="8196" max="8199" width="4.125" style="295" customWidth="1"/>
    <col min="8200" max="8200" width="1.25" style="295" customWidth="1"/>
    <col min="8201" max="8214" width="4.125" style="295" customWidth="1"/>
    <col min="8215" max="8215" width="2.625" style="295" customWidth="1"/>
    <col min="8216" max="8447" width="3.75" style="295" customWidth="1"/>
    <col min="8448" max="8448" width="2.5" style="295" customWidth="1"/>
    <col min="8449" max="8449" width="3" style="295" customWidth="1"/>
    <col min="8450" max="8451" width="2.25" style="295" customWidth="1"/>
    <col min="8452" max="8455" width="4.125" style="295" customWidth="1"/>
    <col min="8456" max="8456" width="1.25" style="295" customWidth="1"/>
    <col min="8457" max="8470" width="4.125" style="295" customWidth="1"/>
    <col min="8471" max="8471" width="2.625" style="295" customWidth="1"/>
    <col min="8472" max="8703" width="3.75" style="295" customWidth="1"/>
    <col min="8704" max="8704" width="2.5" style="295" customWidth="1"/>
    <col min="8705" max="8705" width="3" style="295" customWidth="1"/>
    <col min="8706" max="8707" width="2.25" style="295" customWidth="1"/>
    <col min="8708" max="8711" width="4.125" style="295" customWidth="1"/>
    <col min="8712" max="8712" width="1.25" style="295" customWidth="1"/>
    <col min="8713" max="8726" width="4.125" style="295" customWidth="1"/>
    <col min="8727" max="8727" width="2.625" style="295" customWidth="1"/>
    <col min="8728" max="8959" width="3.75" style="295" customWidth="1"/>
    <col min="8960" max="8960" width="2.5" style="295" customWidth="1"/>
    <col min="8961" max="8961" width="3" style="295" customWidth="1"/>
    <col min="8962" max="8963" width="2.25" style="295" customWidth="1"/>
    <col min="8964" max="8967" width="4.125" style="295" customWidth="1"/>
    <col min="8968" max="8968" width="1.25" style="295" customWidth="1"/>
    <col min="8969" max="8982" width="4.125" style="295" customWidth="1"/>
    <col min="8983" max="8983" width="2.625" style="295" customWidth="1"/>
    <col min="8984" max="9215" width="3.75" style="295" customWidth="1"/>
    <col min="9216" max="9216" width="2.5" style="295" customWidth="1"/>
    <col min="9217" max="9217" width="3" style="295" customWidth="1"/>
    <col min="9218" max="9219" width="2.25" style="295" customWidth="1"/>
    <col min="9220" max="9223" width="4.125" style="295" customWidth="1"/>
    <col min="9224" max="9224" width="1.25" style="295" customWidth="1"/>
    <col min="9225" max="9238" width="4.125" style="295" customWidth="1"/>
    <col min="9239" max="9239" width="2.625" style="295" customWidth="1"/>
    <col min="9240" max="9471" width="3.75" style="295" customWidth="1"/>
    <col min="9472" max="9472" width="2.5" style="295" customWidth="1"/>
    <col min="9473" max="9473" width="3" style="295" customWidth="1"/>
    <col min="9474" max="9475" width="2.25" style="295" customWidth="1"/>
    <col min="9476" max="9479" width="4.125" style="295" customWidth="1"/>
    <col min="9480" max="9480" width="1.25" style="295" customWidth="1"/>
    <col min="9481" max="9494" width="4.125" style="295" customWidth="1"/>
    <col min="9495" max="9495" width="2.625" style="295" customWidth="1"/>
    <col min="9496" max="9727" width="3.75" style="295" customWidth="1"/>
    <col min="9728" max="9728" width="2.5" style="295" customWidth="1"/>
    <col min="9729" max="9729" width="3" style="295" customWidth="1"/>
    <col min="9730" max="9731" width="2.25" style="295" customWidth="1"/>
    <col min="9732" max="9735" width="4.125" style="295" customWidth="1"/>
    <col min="9736" max="9736" width="1.25" style="295" customWidth="1"/>
    <col min="9737" max="9750" width="4.125" style="295" customWidth="1"/>
    <col min="9751" max="9751" width="2.625" style="295" customWidth="1"/>
    <col min="9752" max="9983" width="3.75" style="295" customWidth="1"/>
    <col min="9984" max="9984" width="2.5" style="295" customWidth="1"/>
    <col min="9985" max="9985" width="3" style="295" customWidth="1"/>
    <col min="9986" max="9987" width="2.25" style="295" customWidth="1"/>
    <col min="9988" max="9991" width="4.125" style="295" customWidth="1"/>
    <col min="9992" max="9992" width="1.25" style="295" customWidth="1"/>
    <col min="9993" max="10006" width="4.125" style="295" customWidth="1"/>
    <col min="10007" max="10007" width="2.625" style="295" customWidth="1"/>
    <col min="10008" max="10239" width="3.75" style="295" customWidth="1"/>
    <col min="10240" max="10240" width="2.5" style="295" customWidth="1"/>
    <col min="10241" max="10241" width="3" style="295" customWidth="1"/>
    <col min="10242" max="10243" width="2.25" style="295" customWidth="1"/>
    <col min="10244" max="10247" width="4.125" style="295" customWidth="1"/>
    <col min="10248" max="10248" width="1.25" style="295" customWidth="1"/>
    <col min="10249" max="10262" width="4.125" style="295" customWidth="1"/>
    <col min="10263" max="10263" width="2.625" style="295" customWidth="1"/>
    <col min="10264" max="10495" width="3.75" style="295" customWidth="1"/>
    <col min="10496" max="10496" width="2.5" style="295" customWidth="1"/>
    <col min="10497" max="10497" width="3" style="295" customWidth="1"/>
    <col min="10498" max="10499" width="2.25" style="295" customWidth="1"/>
    <col min="10500" max="10503" width="4.125" style="295" customWidth="1"/>
    <col min="10504" max="10504" width="1.25" style="295" customWidth="1"/>
    <col min="10505" max="10518" width="4.125" style="295" customWidth="1"/>
    <col min="10519" max="10519" width="2.625" style="295" customWidth="1"/>
    <col min="10520" max="10751" width="3.75" style="295" customWidth="1"/>
    <col min="10752" max="10752" width="2.5" style="295" customWidth="1"/>
    <col min="10753" max="10753" width="3" style="295" customWidth="1"/>
    <col min="10754" max="10755" width="2.25" style="295" customWidth="1"/>
    <col min="10756" max="10759" width="4.125" style="295" customWidth="1"/>
    <col min="10760" max="10760" width="1.25" style="295" customWidth="1"/>
    <col min="10761" max="10774" width="4.125" style="295" customWidth="1"/>
    <col min="10775" max="10775" width="2.625" style="295" customWidth="1"/>
    <col min="10776" max="11007" width="3.75" style="295" customWidth="1"/>
    <col min="11008" max="11008" width="2.5" style="295" customWidth="1"/>
    <col min="11009" max="11009" width="3" style="295" customWidth="1"/>
    <col min="11010" max="11011" width="2.25" style="295" customWidth="1"/>
    <col min="11012" max="11015" width="4.125" style="295" customWidth="1"/>
    <col min="11016" max="11016" width="1.25" style="295" customWidth="1"/>
    <col min="11017" max="11030" width="4.125" style="295" customWidth="1"/>
    <col min="11031" max="11031" width="2.625" style="295" customWidth="1"/>
    <col min="11032" max="11263" width="3.75" style="295" customWidth="1"/>
    <col min="11264" max="11264" width="2.5" style="295" customWidth="1"/>
    <col min="11265" max="11265" width="3" style="295" customWidth="1"/>
    <col min="11266" max="11267" width="2.25" style="295" customWidth="1"/>
    <col min="11268" max="11271" width="4.125" style="295" customWidth="1"/>
    <col min="11272" max="11272" width="1.25" style="295" customWidth="1"/>
    <col min="11273" max="11286" width="4.125" style="295" customWidth="1"/>
    <col min="11287" max="11287" width="2.625" style="295" customWidth="1"/>
    <col min="11288" max="11519" width="3.75" style="295" customWidth="1"/>
    <col min="11520" max="11520" width="2.5" style="295" customWidth="1"/>
    <col min="11521" max="11521" width="3" style="295" customWidth="1"/>
    <col min="11522" max="11523" width="2.25" style="295" customWidth="1"/>
    <col min="11524" max="11527" width="4.125" style="295" customWidth="1"/>
    <col min="11528" max="11528" width="1.25" style="295" customWidth="1"/>
    <col min="11529" max="11542" width="4.125" style="295" customWidth="1"/>
    <col min="11543" max="11543" width="2.625" style="295" customWidth="1"/>
    <col min="11544" max="11775" width="3.75" style="295" customWidth="1"/>
    <col min="11776" max="11776" width="2.5" style="295" customWidth="1"/>
    <col min="11777" max="11777" width="3" style="295" customWidth="1"/>
    <col min="11778" max="11779" width="2.25" style="295" customWidth="1"/>
    <col min="11780" max="11783" width="4.125" style="295" customWidth="1"/>
    <col min="11784" max="11784" width="1.25" style="295" customWidth="1"/>
    <col min="11785" max="11798" width="4.125" style="295" customWidth="1"/>
    <col min="11799" max="11799" width="2.625" style="295" customWidth="1"/>
    <col min="11800" max="12031" width="3.75" style="295" customWidth="1"/>
    <col min="12032" max="12032" width="2.5" style="295" customWidth="1"/>
    <col min="12033" max="12033" width="3" style="295" customWidth="1"/>
    <col min="12034" max="12035" width="2.25" style="295" customWidth="1"/>
    <col min="12036" max="12039" width="4.125" style="295" customWidth="1"/>
    <col min="12040" max="12040" width="1.25" style="295" customWidth="1"/>
    <col min="12041" max="12054" width="4.125" style="295" customWidth="1"/>
    <col min="12055" max="12055" width="2.625" style="295" customWidth="1"/>
    <col min="12056" max="12287" width="3.75" style="295" customWidth="1"/>
    <col min="12288" max="12288" width="2.5" style="295" customWidth="1"/>
    <col min="12289" max="12289" width="3" style="295" customWidth="1"/>
    <col min="12290" max="12291" width="2.25" style="295" customWidth="1"/>
    <col min="12292" max="12295" width="4.125" style="295" customWidth="1"/>
    <col min="12296" max="12296" width="1.25" style="295" customWidth="1"/>
    <col min="12297" max="12310" width="4.125" style="295" customWidth="1"/>
    <col min="12311" max="12311" width="2.625" style="295" customWidth="1"/>
    <col min="12312" max="12543" width="3.75" style="295" customWidth="1"/>
    <col min="12544" max="12544" width="2.5" style="295" customWidth="1"/>
    <col min="12545" max="12545" width="3" style="295" customWidth="1"/>
    <col min="12546" max="12547" width="2.25" style="295" customWidth="1"/>
    <col min="12548" max="12551" width="4.125" style="295" customWidth="1"/>
    <col min="12552" max="12552" width="1.25" style="295" customWidth="1"/>
    <col min="12553" max="12566" width="4.125" style="295" customWidth="1"/>
    <col min="12567" max="12567" width="2.625" style="295" customWidth="1"/>
    <col min="12568" max="12799" width="3.75" style="295" customWidth="1"/>
    <col min="12800" max="12800" width="2.5" style="295" customWidth="1"/>
    <col min="12801" max="12801" width="3" style="295" customWidth="1"/>
    <col min="12802" max="12803" width="2.25" style="295" customWidth="1"/>
    <col min="12804" max="12807" width="4.125" style="295" customWidth="1"/>
    <col min="12808" max="12808" width="1.25" style="295" customWidth="1"/>
    <col min="12809" max="12822" width="4.125" style="295" customWidth="1"/>
    <col min="12823" max="12823" width="2.625" style="295" customWidth="1"/>
    <col min="12824" max="13055" width="3.75" style="295" customWidth="1"/>
    <col min="13056" max="13056" width="2.5" style="295" customWidth="1"/>
    <col min="13057" max="13057" width="3" style="295" customWidth="1"/>
    <col min="13058" max="13059" width="2.25" style="295" customWidth="1"/>
    <col min="13060" max="13063" width="4.125" style="295" customWidth="1"/>
    <col min="13064" max="13064" width="1.25" style="295" customWidth="1"/>
    <col min="13065" max="13078" width="4.125" style="295" customWidth="1"/>
    <col min="13079" max="13079" width="2.625" style="295" customWidth="1"/>
    <col min="13080" max="13311" width="3.75" style="295" customWidth="1"/>
    <col min="13312" max="13312" width="2.5" style="295" customWidth="1"/>
    <col min="13313" max="13313" width="3" style="295" customWidth="1"/>
    <col min="13314" max="13315" width="2.25" style="295" customWidth="1"/>
    <col min="13316" max="13319" width="4.125" style="295" customWidth="1"/>
    <col min="13320" max="13320" width="1.25" style="295" customWidth="1"/>
    <col min="13321" max="13334" width="4.125" style="295" customWidth="1"/>
    <col min="13335" max="13335" width="2.625" style="295" customWidth="1"/>
    <col min="13336" max="13567" width="3.75" style="295" customWidth="1"/>
    <col min="13568" max="13568" width="2.5" style="295" customWidth="1"/>
    <col min="13569" max="13569" width="3" style="295" customWidth="1"/>
    <col min="13570" max="13571" width="2.25" style="295" customWidth="1"/>
    <col min="13572" max="13575" width="4.125" style="295" customWidth="1"/>
    <col min="13576" max="13576" width="1.25" style="295" customWidth="1"/>
    <col min="13577" max="13590" width="4.125" style="295" customWidth="1"/>
    <col min="13591" max="13591" width="2.625" style="295" customWidth="1"/>
    <col min="13592" max="13823" width="3.75" style="295" customWidth="1"/>
    <col min="13824" max="13824" width="2.5" style="295" customWidth="1"/>
    <col min="13825" max="13825" width="3" style="295" customWidth="1"/>
    <col min="13826" max="13827" width="2.25" style="295" customWidth="1"/>
    <col min="13828" max="13831" width="4.125" style="295" customWidth="1"/>
    <col min="13832" max="13832" width="1.25" style="295" customWidth="1"/>
    <col min="13833" max="13846" width="4.125" style="295" customWidth="1"/>
    <col min="13847" max="13847" width="2.625" style="295" customWidth="1"/>
    <col min="13848" max="14079" width="3.75" style="295" customWidth="1"/>
    <col min="14080" max="14080" width="2.5" style="295" customWidth="1"/>
    <col min="14081" max="14081" width="3" style="295" customWidth="1"/>
    <col min="14082" max="14083" width="2.25" style="295" customWidth="1"/>
    <col min="14084" max="14087" width="4.125" style="295" customWidth="1"/>
    <col min="14088" max="14088" width="1.25" style="295" customWidth="1"/>
    <col min="14089" max="14102" width="4.125" style="295" customWidth="1"/>
    <col min="14103" max="14103" width="2.625" style="295" customWidth="1"/>
    <col min="14104" max="14335" width="3.75" style="295" customWidth="1"/>
    <col min="14336" max="14336" width="2.5" style="295" customWidth="1"/>
    <col min="14337" max="14337" width="3" style="295" customWidth="1"/>
    <col min="14338" max="14339" width="2.25" style="295" customWidth="1"/>
    <col min="14340" max="14343" width="4.125" style="295" customWidth="1"/>
    <col min="14344" max="14344" width="1.25" style="295" customWidth="1"/>
    <col min="14345" max="14358" width="4.125" style="295" customWidth="1"/>
    <col min="14359" max="14359" width="2.625" style="295" customWidth="1"/>
    <col min="14360" max="14591" width="3.75" style="295" customWidth="1"/>
    <col min="14592" max="14592" width="2.5" style="295" customWidth="1"/>
    <col min="14593" max="14593" width="3" style="295" customWidth="1"/>
    <col min="14594" max="14595" width="2.25" style="295" customWidth="1"/>
    <col min="14596" max="14599" width="4.125" style="295" customWidth="1"/>
    <col min="14600" max="14600" width="1.25" style="295" customWidth="1"/>
    <col min="14601" max="14614" width="4.125" style="295" customWidth="1"/>
    <col min="14615" max="14615" width="2.625" style="295" customWidth="1"/>
    <col min="14616" max="14847" width="3.75" style="295" customWidth="1"/>
    <col min="14848" max="14848" width="2.5" style="295" customWidth="1"/>
    <col min="14849" max="14849" width="3" style="295" customWidth="1"/>
    <col min="14850" max="14851" width="2.25" style="295" customWidth="1"/>
    <col min="14852" max="14855" width="4.125" style="295" customWidth="1"/>
    <col min="14856" max="14856" width="1.25" style="295" customWidth="1"/>
    <col min="14857" max="14870" width="4.125" style="295" customWidth="1"/>
    <col min="14871" max="14871" width="2.625" style="295" customWidth="1"/>
    <col min="14872" max="15103" width="3.75" style="295" customWidth="1"/>
    <col min="15104" max="15104" width="2.5" style="295" customWidth="1"/>
    <col min="15105" max="15105" width="3" style="295" customWidth="1"/>
    <col min="15106" max="15107" width="2.25" style="295" customWidth="1"/>
    <col min="15108" max="15111" width="4.125" style="295" customWidth="1"/>
    <col min="15112" max="15112" width="1.25" style="295" customWidth="1"/>
    <col min="15113" max="15126" width="4.125" style="295" customWidth="1"/>
    <col min="15127" max="15127" width="2.625" style="295" customWidth="1"/>
    <col min="15128" max="15359" width="3.75" style="295" customWidth="1"/>
    <col min="15360" max="15360" width="2.5" style="295" customWidth="1"/>
    <col min="15361" max="15361" width="3" style="295" customWidth="1"/>
    <col min="15362" max="15363" width="2.25" style="295" customWidth="1"/>
    <col min="15364" max="15367" width="4.125" style="295" customWidth="1"/>
    <col min="15368" max="15368" width="1.25" style="295" customWidth="1"/>
    <col min="15369" max="15382" width="4.125" style="295" customWidth="1"/>
    <col min="15383" max="15383" width="2.625" style="295" customWidth="1"/>
    <col min="15384" max="15615" width="3.75" style="295" customWidth="1"/>
    <col min="15616" max="15616" width="2.5" style="295" customWidth="1"/>
    <col min="15617" max="15617" width="3" style="295" customWidth="1"/>
    <col min="15618" max="15619" width="2.25" style="295" customWidth="1"/>
    <col min="15620" max="15623" width="4.125" style="295" customWidth="1"/>
    <col min="15624" max="15624" width="1.25" style="295" customWidth="1"/>
    <col min="15625" max="15638" width="4.125" style="295" customWidth="1"/>
    <col min="15639" max="15639" width="2.625" style="295" customWidth="1"/>
    <col min="15640" max="15871" width="3.75" style="295" customWidth="1"/>
    <col min="15872" max="15872" width="2.5" style="295" customWidth="1"/>
    <col min="15873" max="15873" width="3" style="295" customWidth="1"/>
    <col min="15874" max="15875" width="2.25" style="295" customWidth="1"/>
    <col min="15876" max="15879" width="4.125" style="295" customWidth="1"/>
    <col min="15880" max="15880" width="1.25" style="295" customWidth="1"/>
    <col min="15881" max="15894" width="4.125" style="295" customWidth="1"/>
    <col min="15895" max="15895" width="2.625" style="295" customWidth="1"/>
    <col min="15896" max="16127" width="3.75" style="295" customWidth="1"/>
    <col min="16128" max="16128" width="2.5" style="295" customWidth="1"/>
    <col min="16129" max="16129" width="3" style="295" customWidth="1"/>
    <col min="16130" max="16131" width="2.25" style="295" customWidth="1"/>
    <col min="16132" max="16135" width="4.125" style="295" customWidth="1"/>
    <col min="16136" max="16136" width="1.25" style="295" customWidth="1"/>
    <col min="16137" max="16150" width="4.125" style="295" customWidth="1"/>
    <col min="16151" max="16151" width="2.625" style="295" customWidth="1"/>
    <col min="16152" max="16384" width="3.75" style="295" customWidth="1"/>
  </cols>
  <sheetData>
    <row r="1" spans="1:23" ht="17.25" customHeight="1">
      <c r="A1" s="298" t="s">
        <v>3190</v>
      </c>
    </row>
    <row r="2" spans="1:23" ht="17.25" customHeight="1">
      <c r="A2" s="813" t="s">
        <v>3189</v>
      </c>
      <c r="B2" s="813"/>
      <c r="C2" s="813"/>
      <c r="D2" s="813"/>
      <c r="E2" s="813"/>
      <c r="F2" s="813"/>
      <c r="G2" s="813"/>
      <c r="H2" s="813"/>
      <c r="I2" s="813"/>
      <c r="J2" s="813"/>
      <c r="K2" s="813"/>
      <c r="L2" s="813"/>
      <c r="M2" s="813"/>
      <c r="N2" s="813"/>
      <c r="O2" s="813"/>
      <c r="P2" s="813"/>
      <c r="Q2" s="813"/>
      <c r="R2" s="813"/>
      <c r="S2" s="813"/>
      <c r="T2" s="813"/>
      <c r="U2" s="813"/>
      <c r="V2" s="813"/>
      <c r="W2" s="813"/>
    </row>
    <row r="3" spans="1:23" ht="19.5" customHeight="1"/>
    <row r="4" spans="1:23" ht="17.25" customHeight="1">
      <c r="P4" s="451"/>
      <c r="Q4" s="817"/>
      <c r="R4" s="817"/>
      <c r="S4" s="451" t="s">
        <v>464</v>
      </c>
      <c r="T4" s="464"/>
      <c r="U4" s="451" t="s">
        <v>1</v>
      </c>
      <c r="V4" s="464"/>
      <c r="W4" s="451" t="s">
        <v>465</v>
      </c>
    </row>
    <row r="5" spans="1:23" ht="20.25" customHeight="1"/>
    <row r="6" spans="1:23" ht="17.25" customHeight="1">
      <c r="C6" s="295" t="str">
        <f ca="1">cst_Pre_Corp__SHINSEI</f>
        <v>一般財団法人静岡県建築住宅まちづくりセンター</v>
      </c>
    </row>
    <row r="7" spans="1:23" ht="17.25" customHeight="1">
      <c r="C7" s="295" t="str">
        <f ca="1">cst_Pre_Daihyou__SHINSEI</f>
        <v>理事長 　柳　敏幸</v>
      </c>
      <c r="I7" s="295" t="s">
        <v>2796</v>
      </c>
    </row>
    <row r="8" spans="1:23" ht="9" customHeight="1"/>
    <row r="9" spans="1:23" ht="17.25" customHeight="1">
      <c r="O9" s="294" t="s">
        <v>3041</v>
      </c>
      <c r="P9" s="785" t="str">
        <f>cst_wssonota_owner1__address</f>
        <v/>
      </c>
      <c r="Q9" s="785"/>
      <c r="R9" s="785"/>
      <c r="S9" s="785"/>
      <c r="T9" s="785"/>
      <c r="U9" s="785"/>
      <c r="V9" s="785"/>
      <c r="W9" s="785"/>
    </row>
    <row r="10" spans="1:23" ht="17.25" customHeight="1">
      <c r="M10" s="295" t="s">
        <v>2832</v>
      </c>
      <c r="P10" s="785"/>
      <c r="Q10" s="785"/>
      <c r="R10" s="785"/>
      <c r="S10" s="785"/>
      <c r="T10" s="785"/>
      <c r="U10" s="785"/>
      <c r="V10" s="785"/>
      <c r="W10" s="785"/>
    </row>
    <row r="11" spans="1:23" ht="17.25" customHeight="1">
      <c r="O11" s="294" t="s">
        <v>3042</v>
      </c>
      <c r="P11" s="785" t="str">
        <f>cst_wssonota_owner1__space</f>
        <v/>
      </c>
      <c r="Q11" s="785"/>
      <c r="R11" s="785"/>
      <c r="S11" s="785"/>
      <c r="T11" s="785"/>
      <c r="U11" s="785"/>
      <c r="V11" s="785"/>
      <c r="W11" s="785"/>
    </row>
    <row r="12" spans="1:23" ht="22.5" customHeight="1">
      <c r="P12" s="785"/>
      <c r="Q12" s="785"/>
      <c r="R12" s="785"/>
      <c r="S12" s="785"/>
      <c r="T12" s="785"/>
      <c r="U12" s="785"/>
      <c r="V12" s="785"/>
      <c r="W12" s="785"/>
    </row>
    <row r="13" spans="1:23" ht="17.25" customHeight="1">
      <c r="B13" s="817"/>
      <c r="C13" s="817"/>
      <c r="D13" s="295" t="s">
        <v>464</v>
      </c>
      <c r="E13" s="464"/>
      <c r="F13" s="295" t="s">
        <v>1</v>
      </c>
      <c r="G13" s="464"/>
      <c r="H13" s="295" t="s">
        <v>465</v>
      </c>
      <c r="I13" s="295" t="s">
        <v>3194</v>
      </c>
    </row>
    <row r="14" spans="1:23" ht="17.25" customHeight="1">
      <c r="B14" s="295" t="s">
        <v>3195</v>
      </c>
    </row>
    <row r="15" spans="1:23" ht="21.75" customHeight="1"/>
    <row r="16" spans="1:23" ht="39.75" customHeight="1">
      <c r="B16" s="299">
        <v>1</v>
      </c>
      <c r="C16" s="809" t="s">
        <v>2834</v>
      </c>
      <c r="D16" s="809"/>
      <c r="E16" s="809"/>
      <c r="F16" s="809"/>
      <c r="G16" s="809"/>
      <c r="H16" s="809"/>
      <c r="I16" s="814" t="str">
        <f>cst_wssonota_owner1__space</f>
        <v/>
      </c>
      <c r="J16" s="815"/>
      <c r="K16" s="815"/>
      <c r="L16" s="815"/>
      <c r="M16" s="815"/>
      <c r="N16" s="815"/>
      <c r="O16" s="815"/>
      <c r="P16" s="815"/>
      <c r="Q16" s="815"/>
      <c r="R16" s="815"/>
      <c r="S16" s="815"/>
      <c r="T16" s="815"/>
      <c r="U16" s="815"/>
      <c r="V16" s="816"/>
    </row>
    <row r="17" spans="1:23" ht="39.75" customHeight="1">
      <c r="B17" s="301">
        <v>2</v>
      </c>
      <c r="C17" s="809" t="s">
        <v>20</v>
      </c>
      <c r="D17" s="809"/>
      <c r="E17" s="809"/>
      <c r="F17" s="809"/>
      <c r="G17" s="809"/>
      <c r="H17" s="809"/>
      <c r="I17" s="832" t="s">
        <v>3197</v>
      </c>
      <c r="J17" s="833"/>
      <c r="K17" s="833"/>
      <c r="L17" s="833"/>
      <c r="M17" s="833"/>
      <c r="N17" s="833"/>
      <c r="O17" s="833"/>
      <c r="P17" s="833"/>
      <c r="Q17" s="833"/>
      <c r="R17" s="833"/>
      <c r="S17" s="833"/>
      <c r="T17" s="833"/>
      <c r="U17" s="833"/>
      <c r="V17" s="834"/>
    </row>
    <row r="18" spans="1:23" ht="39.75" customHeight="1">
      <c r="B18" s="301">
        <v>3</v>
      </c>
      <c r="C18" s="809" t="s">
        <v>21</v>
      </c>
      <c r="D18" s="809"/>
      <c r="E18" s="809"/>
      <c r="F18" s="809"/>
      <c r="G18" s="809"/>
      <c r="H18" s="809"/>
      <c r="I18" s="835"/>
      <c r="J18" s="836"/>
      <c r="K18" s="483" t="s">
        <v>464</v>
      </c>
      <c r="L18" s="484"/>
      <c r="M18" s="483" t="s">
        <v>1</v>
      </c>
      <c r="N18" s="484"/>
      <c r="O18" s="483" t="s">
        <v>465</v>
      </c>
      <c r="P18" s="458"/>
      <c r="Q18" s="458"/>
      <c r="R18" s="458"/>
      <c r="S18" s="458"/>
      <c r="T18" s="458"/>
      <c r="U18" s="458"/>
      <c r="V18" s="459"/>
    </row>
    <row r="19" spans="1:23" ht="57" customHeight="1">
      <c r="B19" s="301">
        <v>4</v>
      </c>
      <c r="C19" s="809" t="s">
        <v>3196</v>
      </c>
      <c r="D19" s="809"/>
      <c r="E19" s="809"/>
      <c r="F19" s="809"/>
      <c r="G19" s="809"/>
      <c r="H19" s="809"/>
      <c r="I19" s="814" t="str">
        <f>cst_wsjob__address</f>
        <v>静岡県静岡市葵区平和二丁目215-8</v>
      </c>
      <c r="J19" s="815"/>
      <c r="K19" s="815"/>
      <c r="L19" s="815"/>
      <c r="M19" s="815"/>
      <c r="N19" s="815"/>
      <c r="O19" s="815"/>
      <c r="P19" s="815"/>
      <c r="Q19" s="815"/>
      <c r="R19" s="815"/>
      <c r="S19" s="815"/>
      <c r="T19" s="815"/>
      <c r="U19" s="815"/>
      <c r="V19" s="816"/>
    </row>
    <row r="20" spans="1:23" ht="91.5" customHeight="1" thickBot="1">
      <c r="B20" s="299">
        <v>5</v>
      </c>
      <c r="C20" s="824" t="s">
        <v>2838</v>
      </c>
      <c r="D20" s="824"/>
      <c r="E20" s="824"/>
      <c r="F20" s="824"/>
      <c r="G20" s="824"/>
      <c r="H20" s="824"/>
      <c r="I20" s="825"/>
      <c r="J20" s="826"/>
      <c r="K20" s="826"/>
      <c r="L20" s="826"/>
      <c r="M20" s="826"/>
      <c r="N20" s="826"/>
      <c r="O20" s="826"/>
      <c r="P20" s="826"/>
      <c r="Q20" s="826"/>
      <c r="R20" s="826"/>
      <c r="S20" s="826"/>
      <c r="T20" s="826"/>
      <c r="U20" s="826"/>
      <c r="V20" s="827"/>
    </row>
    <row r="21" spans="1:23" ht="120" customHeight="1" thickTop="1">
      <c r="B21" s="819" t="s">
        <v>2839</v>
      </c>
      <c r="C21" s="820"/>
      <c r="D21" s="821"/>
      <c r="E21" s="822"/>
      <c r="F21" s="822"/>
      <c r="G21" s="822"/>
      <c r="H21" s="822"/>
      <c r="I21" s="822"/>
      <c r="J21" s="822"/>
      <c r="K21" s="822"/>
      <c r="L21" s="823"/>
      <c r="M21" s="304" t="s">
        <v>2805</v>
      </c>
      <c r="N21" s="821"/>
      <c r="O21" s="822"/>
      <c r="P21" s="822"/>
      <c r="Q21" s="823"/>
      <c r="R21" s="304" t="s">
        <v>2806</v>
      </c>
      <c r="S21" s="821"/>
      <c r="T21" s="822"/>
      <c r="U21" s="822"/>
      <c r="V21" s="823"/>
    </row>
    <row r="22" spans="1:23" ht="19.5" customHeight="1"/>
    <row r="23" spans="1:23" ht="20.25" customHeight="1">
      <c r="A23" s="295" t="s">
        <v>484</v>
      </c>
      <c r="C23" s="830" t="s">
        <v>3186</v>
      </c>
      <c r="D23" s="830"/>
      <c r="E23" s="830"/>
      <c r="F23" s="830"/>
      <c r="G23" s="830"/>
      <c r="H23" s="830"/>
      <c r="I23" s="830"/>
      <c r="J23" s="830"/>
      <c r="K23" s="830"/>
      <c r="L23" s="830"/>
      <c r="M23" s="830"/>
      <c r="N23" s="830"/>
      <c r="O23" s="830"/>
      <c r="P23" s="830"/>
      <c r="Q23" s="830"/>
      <c r="R23" s="830"/>
      <c r="S23" s="830"/>
      <c r="T23" s="830"/>
      <c r="U23" s="830"/>
      <c r="V23" s="830"/>
      <c r="W23" s="830"/>
    </row>
    <row r="24" spans="1:23" ht="20.25" customHeight="1">
      <c r="C24" s="830" t="s">
        <v>3188</v>
      </c>
      <c r="D24" s="830"/>
      <c r="E24" s="830"/>
      <c r="F24" s="830"/>
      <c r="G24" s="830"/>
      <c r="H24" s="830"/>
      <c r="I24" s="830"/>
      <c r="J24" s="830"/>
      <c r="K24" s="830"/>
      <c r="L24" s="830"/>
      <c r="M24" s="830"/>
      <c r="N24" s="830"/>
      <c r="O24" s="830"/>
      <c r="P24" s="830"/>
      <c r="Q24" s="830"/>
      <c r="R24" s="830"/>
      <c r="S24" s="830"/>
      <c r="T24" s="830"/>
      <c r="U24" s="830"/>
      <c r="V24" s="830"/>
      <c r="W24" s="830"/>
    </row>
    <row r="25" spans="1:23" ht="20.25" customHeight="1">
      <c r="C25" s="295" t="s">
        <v>3187</v>
      </c>
    </row>
    <row r="26" spans="1:23" ht="20.25" customHeight="1"/>
    <row r="29" spans="1:23" ht="17.25" customHeight="1">
      <c r="A29" s="603"/>
      <c r="B29" s="603"/>
      <c r="C29" s="603"/>
      <c r="D29" s="603"/>
      <c r="E29" s="603"/>
      <c r="F29" s="603"/>
      <c r="G29" s="603"/>
      <c r="H29" s="603"/>
      <c r="I29" s="603"/>
      <c r="J29" s="603"/>
      <c r="K29" s="603"/>
      <c r="L29" s="603"/>
      <c r="M29" s="603"/>
      <c r="N29" s="603"/>
      <c r="O29" s="603"/>
      <c r="P29" s="603"/>
      <c r="Q29" s="603"/>
      <c r="R29" s="603"/>
      <c r="S29" s="603"/>
      <c r="T29" s="603"/>
      <c r="U29" s="603"/>
      <c r="V29" s="603"/>
      <c r="W29" s="603"/>
    </row>
  </sheetData>
  <mergeCells count="22">
    <mergeCell ref="A29:W29"/>
    <mergeCell ref="C16:H16"/>
    <mergeCell ref="I16:V16"/>
    <mergeCell ref="A2:W2"/>
    <mergeCell ref="Q4:R4"/>
    <mergeCell ref="P9:W10"/>
    <mergeCell ref="P11:W12"/>
    <mergeCell ref="B13:C13"/>
    <mergeCell ref="C17:H17"/>
    <mergeCell ref="I17:V17"/>
    <mergeCell ref="C18:H18"/>
    <mergeCell ref="I18:J18"/>
    <mergeCell ref="C19:H19"/>
    <mergeCell ref="I19:V19"/>
    <mergeCell ref="C23:W23"/>
    <mergeCell ref="C24:W24"/>
    <mergeCell ref="C20:H20"/>
    <mergeCell ref="I20:V20"/>
    <mergeCell ref="B21:C21"/>
    <mergeCell ref="D21:L21"/>
    <mergeCell ref="N21:Q21"/>
    <mergeCell ref="S21:V21"/>
  </mergeCells>
  <phoneticPr fontId="57"/>
  <printOptions horizontalCentered="1"/>
  <pageMargins left="0.39370078740157483" right="0.39370078740157483" top="0.6692913385826772"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zoomScale="70" zoomScaleNormal="70" workbookViewId="0"/>
  </sheetViews>
  <sheetFormatPr defaultColWidth="4.625" defaultRowHeight="15.75" customHeight="1"/>
  <cols>
    <col min="1" max="2" width="2.625" style="278" customWidth="1"/>
    <col min="3" max="19" width="4.625" style="278" customWidth="1"/>
    <col min="20" max="20" width="4.25" style="278" customWidth="1"/>
    <col min="21" max="21" width="1.875" style="278" customWidth="1"/>
    <col min="22" max="256" width="4.625" style="278" customWidth="1"/>
    <col min="257" max="258" width="2.625" style="278" customWidth="1"/>
    <col min="259" max="275" width="4.625" style="278" customWidth="1"/>
    <col min="276" max="276" width="4.25" style="278" customWidth="1"/>
    <col min="277" max="277" width="1.875" style="278" customWidth="1"/>
    <col min="278" max="512" width="4.625" style="278" customWidth="1"/>
    <col min="513" max="514" width="2.625" style="278" customWidth="1"/>
    <col min="515" max="531" width="4.625" style="278" customWidth="1"/>
    <col min="532" max="532" width="4.25" style="278" customWidth="1"/>
    <col min="533" max="533" width="1.875" style="278" customWidth="1"/>
    <col min="534" max="768" width="4.625" style="278" customWidth="1"/>
    <col min="769" max="770" width="2.625" style="278" customWidth="1"/>
    <col min="771" max="787" width="4.625" style="278" customWidth="1"/>
    <col min="788" max="788" width="4.25" style="278" customWidth="1"/>
    <col min="789" max="789" width="1.875" style="278" customWidth="1"/>
    <col min="790" max="1024" width="4.625" style="278" customWidth="1"/>
    <col min="1025" max="1026" width="2.625" style="278" customWidth="1"/>
    <col min="1027" max="1043" width="4.625" style="278" customWidth="1"/>
    <col min="1044" max="1044" width="4.25" style="278" customWidth="1"/>
    <col min="1045" max="1045" width="1.875" style="278" customWidth="1"/>
    <col min="1046" max="1280" width="4.625" style="278" customWidth="1"/>
    <col min="1281" max="1282" width="2.625" style="278" customWidth="1"/>
    <col min="1283" max="1299" width="4.625" style="278" customWidth="1"/>
    <col min="1300" max="1300" width="4.25" style="278" customWidth="1"/>
    <col min="1301" max="1301" width="1.875" style="278" customWidth="1"/>
    <col min="1302" max="1536" width="4.625" style="278" customWidth="1"/>
    <col min="1537" max="1538" width="2.625" style="278" customWidth="1"/>
    <col min="1539" max="1555" width="4.625" style="278" customWidth="1"/>
    <col min="1556" max="1556" width="4.25" style="278" customWidth="1"/>
    <col min="1557" max="1557" width="1.875" style="278" customWidth="1"/>
    <col min="1558" max="1792" width="4.625" style="278" customWidth="1"/>
    <col min="1793" max="1794" width="2.625" style="278" customWidth="1"/>
    <col min="1795" max="1811" width="4.625" style="278" customWidth="1"/>
    <col min="1812" max="1812" width="4.25" style="278" customWidth="1"/>
    <col min="1813" max="1813" width="1.875" style="278" customWidth="1"/>
    <col min="1814" max="2048" width="4.625" style="278" customWidth="1"/>
    <col min="2049" max="2050" width="2.625" style="278" customWidth="1"/>
    <col min="2051" max="2067" width="4.625" style="278" customWidth="1"/>
    <col min="2068" max="2068" width="4.25" style="278" customWidth="1"/>
    <col min="2069" max="2069" width="1.875" style="278" customWidth="1"/>
    <col min="2070" max="2304" width="4.625" style="278" customWidth="1"/>
    <col min="2305" max="2306" width="2.625" style="278" customWidth="1"/>
    <col min="2307" max="2323" width="4.625" style="278" customWidth="1"/>
    <col min="2324" max="2324" width="4.25" style="278" customWidth="1"/>
    <col min="2325" max="2325" width="1.875" style="278" customWidth="1"/>
    <col min="2326" max="2560" width="4.625" style="278" customWidth="1"/>
    <col min="2561" max="2562" width="2.625" style="278" customWidth="1"/>
    <col min="2563" max="2579" width="4.625" style="278" customWidth="1"/>
    <col min="2580" max="2580" width="4.25" style="278" customWidth="1"/>
    <col min="2581" max="2581" width="1.875" style="278" customWidth="1"/>
    <col min="2582" max="2816" width="4.625" style="278" customWidth="1"/>
    <col min="2817" max="2818" width="2.625" style="278" customWidth="1"/>
    <col min="2819" max="2835" width="4.625" style="278" customWidth="1"/>
    <col min="2836" max="2836" width="4.25" style="278" customWidth="1"/>
    <col min="2837" max="2837" width="1.875" style="278" customWidth="1"/>
    <col min="2838" max="3072" width="4.625" style="278" customWidth="1"/>
    <col min="3073" max="3074" width="2.625" style="278" customWidth="1"/>
    <col min="3075" max="3091" width="4.625" style="278" customWidth="1"/>
    <col min="3092" max="3092" width="4.25" style="278" customWidth="1"/>
    <col min="3093" max="3093" width="1.875" style="278" customWidth="1"/>
    <col min="3094" max="3328" width="4.625" style="278" customWidth="1"/>
    <col min="3329" max="3330" width="2.625" style="278" customWidth="1"/>
    <col min="3331" max="3347" width="4.625" style="278" customWidth="1"/>
    <col min="3348" max="3348" width="4.25" style="278" customWidth="1"/>
    <col min="3349" max="3349" width="1.875" style="278" customWidth="1"/>
    <col min="3350" max="3584" width="4.625" style="278" customWidth="1"/>
    <col min="3585" max="3586" width="2.625" style="278" customWidth="1"/>
    <col min="3587" max="3603" width="4.625" style="278" customWidth="1"/>
    <col min="3604" max="3604" width="4.25" style="278" customWidth="1"/>
    <col min="3605" max="3605" width="1.875" style="278" customWidth="1"/>
    <col min="3606" max="3840" width="4.625" style="278" customWidth="1"/>
    <col min="3841" max="3842" width="2.625" style="278" customWidth="1"/>
    <col min="3843" max="3859" width="4.625" style="278" customWidth="1"/>
    <col min="3860" max="3860" width="4.25" style="278" customWidth="1"/>
    <col min="3861" max="3861" width="1.875" style="278" customWidth="1"/>
    <col min="3862" max="4096" width="4.625" style="278" customWidth="1"/>
    <col min="4097" max="4098" width="2.625" style="278" customWidth="1"/>
    <col min="4099" max="4115" width="4.625" style="278" customWidth="1"/>
    <col min="4116" max="4116" width="4.25" style="278" customWidth="1"/>
    <col min="4117" max="4117" width="1.875" style="278" customWidth="1"/>
    <col min="4118" max="4352" width="4.625" style="278" customWidth="1"/>
    <col min="4353" max="4354" width="2.625" style="278" customWidth="1"/>
    <col min="4355" max="4371" width="4.625" style="278" customWidth="1"/>
    <col min="4372" max="4372" width="4.25" style="278" customWidth="1"/>
    <col min="4373" max="4373" width="1.875" style="278" customWidth="1"/>
    <col min="4374" max="4608" width="4.625" style="278" customWidth="1"/>
    <col min="4609" max="4610" width="2.625" style="278" customWidth="1"/>
    <col min="4611" max="4627" width="4.625" style="278" customWidth="1"/>
    <col min="4628" max="4628" width="4.25" style="278" customWidth="1"/>
    <col min="4629" max="4629" width="1.875" style="278" customWidth="1"/>
    <col min="4630" max="4864" width="4.625" style="278" customWidth="1"/>
    <col min="4865" max="4866" width="2.625" style="278" customWidth="1"/>
    <col min="4867" max="4883" width="4.625" style="278" customWidth="1"/>
    <col min="4884" max="4884" width="4.25" style="278" customWidth="1"/>
    <col min="4885" max="4885" width="1.875" style="278" customWidth="1"/>
    <col min="4886" max="5120" width="4.625" style="278" customWidth="1"/>
    <col min="5121" max="5122" width="2.625" style="278" customWidth="1"/>
    <col min="5123" max="5139" width="4.625" style="278" customWidth="1"/>
    <col min="5140" max="5140" width="4.25" style="278" customWidth="1"/>
    <col min="5141" max="5141" width="1.875" style="278" customWidth="1"/>
    <col min="5142" max="5376" width="4.625" style="278" customWidth="1"/>
    <col min="5377" max="5378" width="2.625" style="278" customWidth="1"/>
    <col min="5379" max="5395" width="4.625" style="278" customWidth="1"/>
    <col min="5396" max="5396" width="4.25" style="278" customWidth="1"/>
    <col min="5397" max="5397" width="1.875" style="278" customWidth="1"/>
    <col min="5398" max="5632" width="4.625" style="278" customWidth="1"/>
    <col min="5633" max="5634" width="2.625" style="278" customWidth="1"/>
    <col min="5635" max="5651" width="4.625" style="278" customWidth="1"/>
    <col min="5652" max="5652" width="4.25" style="278" customWidth="1"/>
    <col min="5653" max="5653" width="1.875" style="278" customWidth="1"/>
    <col min="5654" max="5888" width="4.625" style="278" customWidth="1"/>
    <col min="5889" max="5890" width="2.625" style="278" customWidth="1"/>
    <col min="5891" max="5907" width="4.625" style="278" customWidth="1"/>
    <col min="5908" max="5908" width="4.25" style="278" customWidth="1"/>
    <col min="5909" max="5909" width="1.875" style="278" customWidth="1"/>
    <col min="5910" max="6144" width="4.625" style="278" customWidth="1"/>
    <col min="6145" max="6146" width="2.625" style="278" customWidth="1"/>
    <col min="6147" max="6163" width="4.625" style="278" customWidth="1"/>
    <col min="6164" max="6164" width="4.25" style="278" customWidth="1"/>
    <col min="6165" max="6165" width="1.875" style="278" customWidth="1"/>
    <col min="6166" max="6400" width="4.625" style="278" customWidth="1"/>
    <col min="6401" max="6402" width="2.625" style="278" customWidth="1"/>
    <col min="6403" max="6419" width="4.625" style="278" customWidth="1"/>
    <col min="6420" max="6420" width="4.25" style="278" customWidth="1"/>
    <col min="6421" max="6421" width="1.875" style="278" customWidth="1"/>
    <col min="6422" max="6656" width="4.625" style="278" customWidth="1"/>
    <col min="6657" max="6658" width="2.625" style="278" customWidth="1"/>
    <col min="6659" max="6675" width="4.625" style="278" customWidth="1"/>
    <col min="6676" max="6676" width="4.25" style="278" customWidth="1"/>
    <col min="6677" max="6677" width="1.875" style="278" customWidth="1"/>
    <col min="6678" max="6912" width="4.625" style="278" customWidth="1"/>
    <col min="6913" max="6914" width="2.625" style="278" customWidth="1"/>
    <col min="6915" max="6931" width="4.625" style="278" customWidth="1"/>
    <col min="6932" max="6932" width="4.25" style="278" customWidth="1"/>
    <col min="6933" max="6933" width="1.875" style="278" customWidth="1"/>
    <col min="6934" max="7168" width="4.625" style="278" customWidth="1"/>
    <col min="7169" max="7170" width="2.625" style="278" customWidth="1"/>
    <col min="7171" max="7187" width="4.625" style="278" customWidth="1"/>
    <col min="7188" max="7188" width="4.25" style="278" customWidth="1"/>
    <col min="7189" max="7189" width="1.875" style="278" customWidth="1"/>
    <col min="7190" max="7424" width="4.625" style="278" customWidth="1"/>
    <col min="7425" max="7426" width="2.625" style="278" customWidth="1"/>
    <col min="7427" max="7443" width="4.625" style="278" customWidth="1"/>
    <col min="7444" max="7444" width="4.25" style="278" customWidth="1"/>
    <col min="7445" max="7445" width="1.875" style="278" customWidth="1"/>
    <col min="7446" max="7680" width="4.625" style="278" customWidth="1"/>
    <col min="7681" max="7682" width="2.625" style="278" customWidth="1"/>
    <col min="7683" max="7699" width="4.625" style="278" customWidth="1"/>
    <col min="7700" max="7700" width="4.25" style="278" customWidth="1"/>
    <col min="7701" max="7701" width="1.875" style="278" customWidth="1"/>
    <col min="7702" max="7936" width="4.625" style="278" customWidth="1"/>
    <col min="7937" max="7938" width="2.625" style="278" customWidth="1"/>
    <col min="7939" max="7955" width="4.625" style="278" customWidth="1"/>
    <col min="7956" max="7956" width="4.25" style="278" customWidth="1"/>
    <col min="7957" max="7957" width="1.875" style="278" customWidth="1"/>
    <col min="7958" max="8192" width="4.625" style="278" customWidth="1"/>
    <col min="8193" max="8194" width="2.625" style="278" customWidth="1"/>
    <col min="8195" max="8211" width="4.625" style="278" customWidth="1"/>
    <col min="8212" max="8212" width="4.25" style="278" customWidth="1"/>
    <col min="8213" max="8213" width="1.875" style="278" customWidth="1"/>
    <col min="8214" max="8448" width="4.625" style="278" customWidth="1"/>
    <col min="8449" max="8450" width="2.625" style="278" customWidth="1"/>
    <col min="8451" max="8467" width="4.625" style="278" customWidth="1"/>
    <col min="8468" max="8468" width="4.25" style="278" customWidth="1"/>
    <col min="8469" max="8469" width="1.875" style="278" customWidth="1"/>
    <col min="8470" max="8704" width="4.625" style="278" customWidth="1"/>
    <col min="8705" max="8706" width="2.625" style="278" customWidth="1"/>
    <col min="8707" max="8723" width="4.625" style="278" customWidth="1"/>
    <col min="8724" max="8724" width="4.25" style="278" customWidth="1"/>
    <col min="8725" max="8725" width="1.875" style="278" customWidth="1"/>
    <col min="8726" max="8960" width="4.625" style="278" customWidth="1"/>
    <col min="8961" max="8962" width="2.625" style="278" customWidth="1"/>
    <col min="8963" max="8979" width="4.625" style="278" customWidth="1"/>
    <col min="8980" max="8980" width="4.25" style="278" customWidth="1"/>
    <col min="8981" max="8981" width="1.875" style="278" customWidth="1"/>
    <col min="8982" max="9216" width="4.625" style="278" customWidth="1"/>
    <col min="9217" max="9218" width="2.625" style="278" customWidth="1"/>
    <col min="9219" max="9235" width="4.625" style="278" customWidth="1"/>
    <col min="9236" max="9236" width="4.25" style="278" customWidth="1"/>
    <col min="9237" max="9237" width="1.875" style="278" customWidth="1"/>
    <col min="9238" max="9472" width="4.625" style="278" customWidth="1"/>
    <col min="9473" max="9474" width="2.625" style="278" customWidth="1"/>
    <col min="9475" max="9491" width="4.625" style="278" customWidth="1"/>
    <col min="9492" max="9492" width="4.25" style="278" customWidth="1"/>
    <col min="9493" max="9493" width="1.875" style="278" customWidth="1"/>
    <col min="9494" max="9728" width="4.625" style="278" customWidth="1"/>
    <col min="9729" max="9730" width="2.625" style="278" customWidth="1"/>
    <col min="9731" max="9747" width="4.625" style="278" customWidth="1"/>
    <col min="9748" max="9748" width="4.25" style="278" customWidth="1"/>
    <col min="9749" max="9749" width="1.875" style="278" customWidth="1"/>
    <col min="9750" max="9984" width="4.625" style="278" customWidth="1"/>
    <col min="9985" max="9986" width="2.625" style="278" customWidth="1"/>
    <col min="9987" max="10003" width="4.625" style="278" customWidth="1"/>
    <col min="10004" max="10004" width="4.25" style="278" customWidth="1"/>
    <col min="10005" max="10005" width="1.875" style="278" customWidth="1"/>
    <col min="10006" max="10240" width="4.625" style="278" customWidth="1"/>
    <col min="10241" max="10242" width="2.625" style="278" customWidth="1"/>
    <col min="10243" max="10259" width="4.625" style="278" customWidth="1"/>
    <col min="10260" max="10260" width="4.25" style="278" customWidth="1"/>
    <col min="10261" max="10261" width="1.875" style="278" customWidth="1"/>
    <col min="10262" max="10496" width="4.625" style="278" customWidth="1"/>
    <col min="10497" max="10498" width="2.625" style="278" customWidth="1"/>
    <col min="10499" max="10515" width="4.625" style="278" customWidth="1"/>
    <col min="10516" max="10516" width="4.25" style="278" customWidth="1"/>
    <col min="10517" max="10517" width="1.875" style="278" customWidth="1"/>
    <col min="10518" max="10752" width="4.625" style="278" customWidth="1"/>
    <col min="10753" max="10754" width="2.625" style="278" customWidth="1"/>
    <col min="10755" max="10771" width="4.625" style="278" customWidth="1"/>
    <col min="10772" max="10772" width="4.25" style="278" customWidth="1"/>
    <col min="10773" max="10773" width="1.875" style="278" customWidth="1"/>
    <col min="10774" max="11008" width="4.625" style="278" customWidth="1"/>
    <col min="11009" max="11010" width="2.625" style="278" customWidth="1"/>
    <col min="11011" max="11027" width="4.625" style="278" customWidth="1"/>
    <col min="11028" max="11028" width="4.25" style="278" customWidth="1"/>
    <col min="11029" max="11029" width="1.875" style="278" customWidth="1"/>
    <col min="11030" max="11264" width="4.625" style="278" customWidth="1"/>
    <col min="11265" max="11266" width="2.625" style="278" customWidth="1"/>
    <col min="11267" max="11283" width="4.625" style="278" customWidth="1"/>
    <col min="11284" max="11284" width="4.25" style="278" customWidth="1"/>
    <col min="11285" max="11285" width="1.875" style="278" customWidth="1"/>
    <col min="11286" max="11520" width="4.625" style="278" customWidth="1"/>
    <col min="11521" max="11522" width="2.625" style="278" customWidth="1"/>
    <col min="11523" max="11539" width="4.625" style="278" customWidth="1"/>
    <col min="11540" max="11540" width="4.25" style="278" customWidth="1"/>
    <col min="11541" max="11541" width="1.875" style="278" customWidth="1"/>
    <col min="11542" max="11776" width="4.625" style="278" customWidth="1"/>
    <col min="11777" max="11778" width="2.625" style="278" customWidth="1"/>
    <col min="11779" max="11795" width="4.625" style="278" customWidth="1"/>
    <col min="11796" max="11796" width="4.25" style="278" customWidth="1"/>
    <col min="11797" max="11797" width="1.875" style="278" customWidth="1"/>
    <col min="11798" max="12032" width="4.625" style="278" customWidth="1"/>
    <col min="12033" max="12034" width="2.625" style="278" customWidth="1"/>
    <col min="12035" max="12051" width="4.625" style="278" customWidth="1"/>
    <col min="12052" max="12052" width="4.25" style="278" customWidth="1"/>
    <col min="12053" max="12053" width="1.875" style="278" customWidth="1"/>
    <col min="12054" max="12288" width="4.625" style="278" customWidth="1"/>
    <col min="12289" max="12290" width="2.625" style="278" customWidth="1"/>
    <col min="12291" max="12307" width="4.625" style="278" customWidth="1"/>
    <col min="12308" max="12308" width="4.25" style="278" customWidth="1"/>
    <col min="12309" max="12309" width="1.875" style="278" customWidth="1"/>
    <col min="12310" max="12544" width="4.625" style="278" customWidth="1"/>
    <col min="12545" max="12546" width="2.625" style="278" customWidth="1"/>
    <col min="12547" max="12563" width="4.625" style="278" customWidth="1"/>
    <col min="12564" max="12564" width="4.25" style="278" customWidth="1"/>
    <col min="12565" max="12565" width="1.875" style="278" customWidth="1"/>
    <col min="12566" max="12800" width="4.625" style="278" customWidth="1"/>
    <col min="12801" max="12802" width="2.625" style="278" customWidth="1"/>
    <col min="12803" max="12819" width="4.625" style="278" customWidth="1"/>
    <col min="12820" max="12820" width="4.25" style="278" customWidth="1"/>
    <col min="12821" max="12821" width="1.875" style="278" customWidth="1"/>
    <col min="12822" max="13056" width="4.625" style="278" customWidth="1"/>
    <col min="13057" max="13058" width="2.625" style="278" customWidth="1"/>
    <col min="13059" max="13075" width="4.625" style="278" customWidth="1"/>
    <col min="13076" max="13076" width="4.25" style="278" customWidth="1"/>
    <col min="13077" max="13077" width="1.875" style="278" customWidth="1"/>
    <col min="13078" max="13312" width="4.625" style="278" customWidth="1"/>
    <col min="13313" max="13314" width="2.625" style="278" customWidth="1"/>
    <col min="13315" max="13331" width="4.625" style="278" customWidth="1"/>
    <col min="13332" max="13332" width="4.25" style="278" customWidth="1"/>
    <col min="13333" max="13333" width="1.875" style="278" customWidth="1"/>
    <col min="13334" max="13568" width="4.625" style="278" customWidth="1"/>
    <col min="13569" max="13570" width="2.625" style="278" customWidth="1"/>
    <col min="13571" max="13587" width="4.625" style="278" customWidth="1"/>
    <col min="13588" max="13588" width="4.25" style="278" customWidth="1"/>
    <col min="13589" max="13589" width="1.875" style="278" customWidth="1"/>
    <col min="13590" max="13824" width="4.625" style="278" customWidth="1"/>
    <col min="13825" max="13826" width="2.625" style="278" customWidth="1"/>
    <col min="13827" max="13843" width="4.625" style="278" customWidth="1"/>
    <col min="13844" max="13844" width="4.25" style="278" customWidth="1"/>
    <col min="13845" max="13845" width="1.875" style="278" customWidth="1"/>
    <col min="13846" max="14080" width="4.625" style="278" customWidth="1"/>
    <col min="14081" max="14082" width="2.625" style="278" customWidth="1"/>
    <col min="14083" max="14099" width="4.625" style="278" customWidth="1"/>
    <col min="14100" max="14100" width="4.25" style="278" customWidth="1"/>
    <col min="14101" max="14101" width="1.875" style="278" customWidth="1"/>
    <col min="14102" max="14336" width="4.625" style="278" customWidth="1"/>
    <col min="14337" max="14338" width="2.625" style="278" customWidth="1"/>
    <col min="14339" max="14355" width="4.625" style="278" customWidth="1"/>
    <col min="14356" max="14356" width="4.25" style="278" customWidth="1"/>
    <col min="14357" max="14357" width="1.875" style="278" customWidth="1"/>
    <col min="14358" max="14592" width="4.625" style="278" customWidth="1"/>
    <col min="14593" max="14594" width="2.625" style="278" customWidth="1"/>
    <col min="14595" max="14611" width="4.625" style="278" customWidth="1"/>
    <col min="14612" max="14612" width="4.25" style="278" customWidth="1"/>
    <col min="14613" max="14613" width="1.875" style="278" customWidth="1"/>
    <col min="14614" max="14848" width="4.625" style="278" customWidth="1"/>
    <col min="14849" max="14850" width="2.625" style="278" customWidth="1"/>
    <col min="14851" max="14867" width="4.625" style="278" customWidth="1"/>
    <col min="14868" max="14868" width="4.25" style="278" customWidth="1"/>
    <col min="14869" max="14869" width="1.875" style="278" customWidth="1"/>
    <col min="14870" max="15104" width="4.625" style="278" customWidth="1"/>
    <col min="15105" max="15106" width="2.625" style="278" customWidth="1"/>
    <col min="15107" max="15123" width="4.625" style="278" customWidth="1"/>
    <col min="15124" max="15124" width="4.25" style="278" customWidth="1"/>
    <col min="15125" max="15125" width="1.875" style="278" customWidth="1"/>
    <col min="15126" max="15360" width="4.625" style="278" customWidth="1"/>
    <col min="15361" max="15362" width="2.625" style="278" customWidth="1"/>
    <col min="15363" max="15379" width="4.625" style="278" customWidth="1"/>
    <col min="15380" max="15380" width="4.25" style="278" customWidth="1"/>
    <col min="15381" max="15381" width="1.875" style="278" customWidth="1"/>
    <col min="15382" max="15616" width="4.625" style="278" customWidth="1"/>
    <col min="15617" max="15618" width="2.625" style="278" customWidth="1"/>
    <col min="15619" max="15635" width="4.625" style="278" customWidth="1"/>
    <col min="15636" max="15636" width="4.25" style="278" customWidth="1"/>
    <col min="15637" max="15637" width="1.875" style="278" customWidth="1"/>
    <col min="15638" max="15872" width="4.625" style="278" customWidth="1"/>
    <col min="15873" max="15874" width="2.625" style="278" customWidth="1"/>
    <col min="15875" max="15891" width="4.625" style="278" customWidth="1"/>
    <col min="15892" max="15892" width="4.25" style="278" customWidth="1"/>
    <col min="15893" max="15893" width="1.875" style="278" customWidth="1"/>
    <col min="15894" max="16128" width="4.625" style="278" customWidth="1"/>
    <col min="16129" max="16130" width="2.625" style="278" customWidth="1"/>
    <col min="16131" max="16147" width="4.625" style="278" customWidth="1"/>
    <col min="16148" max="16148" width="4.25" style="278" customWidth="1"/>
    <col min="16149" max="16149" width="1.875" style="278" customWidth="1"/>
    <col min="16150" max="16384" width="4.625" style="278" customWidth="1"/>
  </cols>
  <sheetData>
    <row r="1" spans="1:21" ht="15.75" customHeight="1">
      <c r="B1" s="285" t="s">
        <v>2794</v>
      </c>
    </row>
    <row r="2" spans="1:21" ht="15.75" customHeight="1">
      <c r="A2" s="775" t="s">
        <v>2795</v>
      </c>
      <c r="B2" s="775"/>
      <c r="C2" s="775"/>
      <c r="D2" s="775"/>
      <c r="E2" s="775"/>
      <c r="F2" s="775"/>
      <c r="G2" s="775"/>
      <c r="H2" s="775"/>
      <c r="I2" s="775"/>
      <c r="J2" s="775"/>
      <c r="K2" s="775"/>
      <c r="L2" s="775"/>
      <c r="M2" s="775"/>
      <c r="N2" s="775"/>
      <c r="O2" s="775"/>
      <c r="P2" s="775"/>
      <c r="Q2" s="775"/>
      <c r="R2" s="775"/>
      <c r="S2" s="775"/>
      <c r="T2" s="775"/>
      <c r="U2" s="775"/>
    </row>
    <row r="4" spans="1:21" ht="11.25" customHeight="1">
      <c r="N4" s="841"/>
      <c r="O4" s="841"/>
      <c r="P4" s="775" t="s">
        <v>464</v>
      </c>
      <c r="Q4" s="841"/>
      <c r="R4" s="775" t="s">
        <v>1</v>
      </c>
      <c r="S4" s="841"/>
      <c r="T4" s="775" t="s">
        <v>465</v>
      </c>
    </row>
    <row r="5" spans="1:21" ht="11.25" customHeight="1">
      <c r="N5" s="841"/>
      <c r="O5" s="841"/>
      <c r="P5" s="775"/>
      <c r="Q5" s="841"/>
      <c r="R5" s="775"/>
      <c r="S5" s="841"/>
      <c r="T5" s="775"/>
    </row>
    <row r="6" spans="1:21" ht="20.25" customHeight="1">
      <c r="A6" s="384" t="str">
        <f ca="1">cst_Pre_Corp__SHINSEI</f>
        <v>一般財団法人静岡県建築住宅まちづくりセンター</v>
      </c>
    </row>
    <row r="7" spans="1:21" ht="20.25" customHeight="1">
      <c r="B7" s="384" t="str">
        <f ca="1">cst_Pre_Daihyou__SHINSEI</f>
        <v>理事長 　柳　敏幸</v>
      </c>
      <c r="G7" s="278" t="s">
        <v>2796</v>
      </c>
    </row>
    <row r="8" spans="1:21" ht="20.25" customHeight="1">
      <c r="L8" s="775" t="s">
        <v>2831</v>
      </c>
      <c r="M8" s="775"/>
      <c r="N8" s="752" t="str">
        <f>cst_wskakunin_owner1__address</f>
        <v>静岡県静岡市葵区新伝馬二丁目8-41-101</v>
      </c>
      <c r="O8" s="752"/>
      <c r="P8" s="752"/>
      <c r="Q8" s="752"/>
      <c r="R8" s="752"/>
      <c r="S8" s="752"/>
      <c r="T8" s="752"/>
      <c r="U8" s="752"/>
    </row>
    <row r="9" spans="1:21" ht="20.25" customHeight="1">
      <c r="K9" s="280" t="s">
        <v>2797</v>
      </c>
      <c r="N9" s="752"/>
      <c r="O9" s="752"/>
      <c r="P9" s="752"/>
      <c r="Q9" s="752"/>
      <c r="R9" s="752"/>
      <c r="S9" s="752"/>
      <c r="T9" s="752"/>
      <c r="U9" s="752"/>
    </row>
    <row r="10" spans="1:21" ht="20.25" customHeight="1">
      <c r="L10" s="775" t="s">
        <v>3040</v>
      </c>
      <c r="M10" s="775"/>
      <c r="N10" s="752" t="str">
        <f>cst_wskakunin_owner1__space3</f>
        <v>菅野　幸子</v>
      </c>
      <c r="O10" s="752"/>
      <c r="P10" s="752"/>
      <c r="Q10" s="752"/>
      <c r="R10" s="752"/>
      <c r="S10" s="752"/>
      <c r="T10" s="752"/>
      <c r="U10" s="752"/>
    </row>
    <row r="11" spans="1:21" ht="15.75" customHeight="1">
      <c r="N11" s="752"/>
      <c r="O11" s="752"/>
      <c r="P11" s="752"/>
      <c r="Q11" s="752"/>
      <c r="R11" s="752"/>
      <c r="S11" s="752"/>
      <c r="T11" s="752"/>
      <c r="U11" s="752"/>
    </row>
    <row r="12" spans="1:21" ht="22.5" customHeight="1">
      <c r="B12" s="278" t="s">
        <v>2798</v>
      </c>
    </row>
    <row r="13" spans="1:21" ht="90" customHeight="1">
      <c r="A13" s="286">
        <v>1</v>
      </c>
      <c r="B13" s="837" t="s">
        <v>2799</v>
      </c>
      <c r="C13" s="837"/>
      <c r="D13" s="837"/>
      <c r="E13" s="837"/>
      <c r="F13" s="837"/>
      <c r="G13" s="838"/>
      <c r="H13" s="842">
        <f ca="1">cst_ISSUE_DATE_select</f>
        <v>44958</v>
      </c>
      <c r="I13" s="843"/>
      <c r="J13" s="465" t="s">
        <v>464</v>
      </c>
      <c r="K13" s="467">
        <f ca="1">cst_ISSUE_DATE_select</f>
        <v>44958</v>
      </c>
      <c r="L13" s="465" t="s">
        <v>1</v>
      </c>
      <c r="M13" s="466">
        <f ca="1">cst_ISSUE_DATE_select</f>
        <v>44958</v>
      </c>
      <c r="N13" s="465" t="s">
        <v>465</v>
      </c>
      <c r="O13" s="839" t="str">
        <f ca="1">IF(cst_ISSUE_NO_select="","第　　　　　　　号",IF(COUNTIF(cst_ISSUE_NO_select,"*第*")&gt;0,"","第")&amp;cst_ISSUE_NO_select&amp;IF(COUNTIF(cst_ISSUE_NO_select,"*号*")&gt;0,"","号"))</f>
        <v>第 2022確認建築静建住ま10505 号</v>
      </c>
      <c r="P13" s="839"/>
      <c r="Q13" s="839"/>
      <c r="R13" s="839"/>
      <c r="S13" s="839"/>
      <c r="T13" s="839"/>
      <c r="U13" s="840"/>
    </row>
    <row r="14" spans="1:21" ht="81.75" customHeight="1">
      <c r="A14" s="287">
        <v>2</v>
      </c>
      <c r="B14" s="853" t="s">
        <v>2800</v>
      </c>
      <c r="C14" s="854"/>
      <c r="D14" s="854"/>
      <c r="E14" s="854"/>
      <c r="F14" s="854"/>
      <c r="G14" s="855"/>
      <c r="H14" s="856" t="str">
        <f>cst_wskakunin_BUILD__address</f>
        <v>静岡県静岡市葵区平和二丁目215-8</v>
      </c>
      <c r="I14" s="857"/>
      <c r="J14" s="857"/>
      <c r="K14" s="857"/>
      <c r="L14" s="857"/>
      <c r="M14" s="857"/>
      <c r="N14" s="857"/>
      <c r="O14" s="857"/>
      <c r="P14" s="857"/>
      <c r="Q14" s="857"/>
      <c r="R14" s="857"/>
      <c r="S14" s="857"/>
      <c r="T14" s="857"/>
      <c r="U14" s="858"/>
    </row>
    <row r="15" spans="1:21" ht="80.25" customHeight="1">
      <c r="A15" s="286">
        <v>3</v>
      </c>
      <c r="B15" s="859" t="s">
        <v>2801</v>
      </c>
      <c r="C15" s="837"/>
      <c r="D15" s="837"/>
      <c r="E15" s="837"/>
      <c r="F15" s="837"/>
      <c r="G15" s="838"/>
      <c r="H15" s="856" t="str">
        <f>cst_wskakunin_owner1__address&amp;CHAR(10)&amp;cst_wskakunin_owner1__space</f>
        <v>静岡県静岡市葵区新伝馬二丁目8-41-101
菅野　幸子</v>
      </c>
      <c r="I15" s="857"/>
      <c r="J15" s="857"/>
      <c r="K15" s="857"/>
      <c r="L15" s="857"/>
      <c r="M15" s="857"/>
      <c r="N15" s="857"/>
      <c r="O15" s="857"/>
      <c r="P15" s="857"/>
      <c r="Q15" s="857"/>
      <c r="R15" s="857"/>
      <c r="S15" s="857"/>
      <c r="T15" s="857"/>
      <c r="U15" s="858"/>
    </row>
    <row r="16" spans="1:21" ht="80.25" customHeight="1">
      <c r="A16" s="286">
        <v>4</v>
      </c>
      <c r="B16" s="837" t="s">
        <v>2802</v>
      </c>
      <c r="C16" s="837"/>
      <c r="D16" s="837"/>
      <c r="E16" s="837"/>
      <c r="F16" s="837"/>
      <c r="G16" s="838"/>
      <c r="H16" s="846"/>
      <c r="I16" s="847"/>
      <c r="J16" s="847"/>
      <c r="K16" s="847"/>
      <c r="L16" s="847"/>
      <c r="M16" s="847"/>
      <c r="N16" s="847"/>
      <c r="O16" s="847"/>
      <c r="P16" s="847"/>
      <c r="Q16" s="847"/>
      <c r="R16" s="847"/>
      <c r="S16" s="847"/>
      <c r="T16" s="847"/>
      <c r="U16" s="848"/>
    </row>
    <row r="17" spans="1:21" ht="79.5" customHeight="1">
      <c r="A17" s="288">
        <v>5</v>
      </c>
      <c r="B17" s="844" t="s">
        <v>2803</v>
      </c>
      <c r="C17" s="844"/>
      <c r="D17" s="844"/>
      <c r="E17" s="844"/>
      <c r="F17" s="844"/>
      <c r="G17" s="845"/>
      <c r="H17" s="846"/>
      <c r="I17" s="847"/>
      <c r="J17" s="847"/>
      <c r="K17" s="847"/>
      <c r="L17" s="847"/>
      <c r="M17" s="847"/>
      <c r="N17" s="847"/>
      <c r="O17" s="847"/>
      <c r="P17" s="847"/>
      <c r="Q17" s="847"/>
      <c r="R17" s="847"/>
      <c r="S17" s="847"/>
      <c r="T17" s="847"/>
      <c r="U17" s="848"/>
    </row>
    <row r="18" spans="1:21" ht="123.75" customHeight="1">
      <c r="A18" s="849" t="s">
        <v>2804</v>
      </c>
      <c r="B18" s="850"/>
      <c r="C18" s="851"/>
      <c r="D18" s="852"/>
      <c r="E18" s="852"/>
      <c r="F18" s="852"/>
      <c r="G18" s="852"/>
      <c r="H18" s="852"/>
      <c r="I18" s="852"/>
      <c r="J18" s="852"/>
      <c r="K18" s="852"/>
      <c r="L18" s="852"/>
      <c r="M18" s="850"/>
      <c r="N18" s="289" t="s">
        <v>2805</v>
      </c>
      <c r="O18" s="851"/>
      <c r="P18" s="852"/>
      <c r="Q18" s="850"/>
      <c r="R18" s="289" t="s">
        <v>2806</v>
      </c>
      <c r="S18" s="851"/>
      <c r="T18" s="852"/>
      <c r="U18" s="850"/>
    </row>
    <row r="20" spans="1:21" ht="18" customHeight="1">
      <c r="A20" s="278" t="s">
        <v>484</v>
      </c>
      <c r="C20" s="278" t="s">
        <v>3186</v>
      </c>
    </row>
    <row r="21" spans="1:21" ht="18" customHeight="1">
      <c r="C21" s="278" t="s">
        <v>3188</v>
      </c>
    </row>
    <row r="22" spans="1:21" ht="15.75" customHeight="1">
      <c r="C22" s="278" t="s">
        <v>3187</v>
      </c>
    </row>
  </sheetData>
  <mergeCells count="26">
    <mergeCell ref="B14:G14"/>
    <mergeCell ref="H14:U14"/>
    <mergeCell ref="B15:G15"/>
    <mergeCell ref="H15:U15"/>
    <mergeCell ref="B16:G16"/>
    <mergeCell ref="H16:U16"/>
    <mergeCell ref="B17:G17"/>
    <mergeCell ref="H17:U17"/>
    <mergeCell ref="A18:B18"/>
    <mergeCell ref="C18:M18"/>
    <mergeCell ref="O18:Q18"/>
    <mergeCell ref="S18:U18"/>
    <mergeCell ref="A2:U2"/>
    <mergeCell ref="L8:M8"/>
    <mergeCell ref="L10:M10"/>
    <mergeCell ref="B13:G13"/>
    <mergeCell ref="O13:U13"/>
    <mergeCell ref="N8:U9"/>
    <mergeCell ref="N10:U11"/>
    <mergeCell ref="T4:T5"/>
    <mergeCell ref="S4:S5"/>
    <mergeCell ref="R4:R5"/>
    <mergeCell ref="Q4:Q5"/>
    <mergeCell ref="P4:P5"/>
    <mergeCell ref="N4:O5"/>
    <mergeCell ref="H13:I13"/>
  </mergeCells>
  <phoneticPr fontId="57"/>
  <printOptions horizontalCentered="1"/>
  <pageMargins left="0.39370078740157483" right="0.39370078740157483" top="0.6692913385826772" bottom="0.94488188976377963" header="0.31496062992125984" footer="0.31496062992125984"/>
  <pageSetup paperSize="9" scale="98"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workbookViewId="0"/>
  </sheetViews>
  <sheetFormatPr defaultColWidth="2.625" defaultRowHeight="18" customHeight="1"/>
  <cols>
    <col min="40" max="40" width="6" hidden="1" customWidth="1"/>
    <col min="41" max="41" width="29.625" hidden="1" customWidth="1"/>
  </cols>
  <sheetData>
    <row r="1" spans="1:41" ht="18" customHeight="1">
      <c r="A1" s="603" t="s">
        <v>3238</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494"/>
    </row>
    <row r="2" spans="1:41" ht="18" customHeight="1">
      <c r="B2" s="430"/>
      <c r="C2" s="430"/>
      <c r="D2" s="430"/>
      <c r="E2" s="430"/>
      <c r="F2" s="430"/>
      <c r="G2" s="430"/>
      <c r="H2" s="430"/>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N2" s="496" t="str">
        <f>IF(AND(cst_wskakunin_owner2__space&lt;&gt;"",cst__output_sheetname="工事監理計画届"),"○","")</f>
        <v/>
      </c>
      <c r="AO2" s="496" t="s">
        <v>3201</v>
      </c>
    </row>
    <row r="3" spans="1:41" ht="18" customHeight="1">
      <c r="B3" s="430"/>
      <c r="C3" s="430"/>
      <c r="D3" s="430"/>
      <c r="E3" s="430"/>
      <c r="F3" s="430"/>
      <c r="G3" s="430"/>
      <c r="H3" s="430"/>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N3" s="496" t="str">
        <f>IF(AND(cst_wskakunin_owner2__space&lt;&gt;"",cst__output_sheetname="軽微な変更説明書"),"○","")</f>
        <v/>
      </c>
      <c r="AO3" s="496" t="s">
        <v>3202</v>
      </c>
    </row>
    <row r="4" spans="1:41" ht="18" customHeight="1">
      <c r="B4" s="423" t="s">
        <v>3239</v>
      </c>
      <c r="C4" s="430"/>
      <c r="D4" s="430"/>
      <c r="E4" s="430"/>
      <c r="F4" s="430"/>
      <c r="G4" s="430"/>
      <c r="H4" s="430"/>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N4" s="496" t="str">
        <f ca="1">IF(AND(OR(cst_wsjob_JOB_KIND="確認申請",cst_wsjob_JOB_KIND="計画変更"),cst_wskakunin_owner2__space&lt;&gt;"",cst__output_sheetname="取下げ届"),"○","")</f>
        <v/>
      </c>
      <c r="AO4" s="496" t="s">
        <v>3203</v>
      </c>
    </row>
    <row r="5" spans="1:41" ht="18" customHeight="1">
      <c r="B5" s="423"/>
      <c r="C5" s="430"/>
      <c r="D5" s="430"/>
      <c r="E5" s="430"/>
      <c r="F5" s="430"/>
      <c r="G5" s="430"/>
      <c r="H5" s="430"/>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N5" s="496" t="str">
        <f ca="1">IF(AND(cst_wsjob_JOB_KIND="中間検査",cst_wskakunin_owner2__space&lt;&gt;"",cst__output_sheetname="取下げ届"),"○","")</f>
        <v/>
      </c>
      <c r="AO5" s="496" t="s">
        <v>3204</v>
      </c>
    </row>
    <row r="6" spans="1:41" s="410" customFormat="1" ht="12">
      <c r="B6" s="410" t="s">
        <v>10</v>
      </c>
    </row>
    <row r="7" spans="1:41" ht="18" customHeight="1">
      <c r="B7" s="423"/>
      <c r="C7" s="430"/>
      <c r="D7" s="430"/>
      <c r="E7" s="430"/>
      <c r="F7" s="430"/>
      <c r="G7" s="430"/>
      <c r="H7" s="430"/>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N7" s="496" t="str">
        <f ca="1">IF(AND(cst_wsjob_JOB_KIND="中間検査",cst_wskakunin_owner2__space&lt;&gt;"",cst__output_sheetname="取下げ届"),"○","")</f>
        <v/>
      </c>
      <c r="AO7" s="496" t="s">
        <v>3204</v>
      </c>
    </row>
    <row r="8" spans="1:41" s="410" customFormat="1" ht="18" customHeight="1">
      <c r="C8" s="552" t="s">
        <v>11</v>
      </c>
      <c r="D8" s="552"/>
      <c r="E8" s="552"/>
      <c r="F8" s="555" t="str">
        <f>cst_wskakunin_owner2__space3</f>
        <v/>
      </c>
      <c r="G8" s="555"/>
      <c r="H8" s="555"/>
      <c r="I8" s="555"/>
      <c r="J8" s="555"/>
      <c r="K8" s="555"/>
      <c r="L8" s="555"/>
      <c r="M8" s="555"/>
      <c r="N8" s="555"/>
      <c r="O8" s="555"/>
      <c r="P8" s="555"/>
      <c r="Q8" s="555"/>
      <c r="R8" s="555"/>
      <c r="S8" s="555"/>
      <c r="T8" s="555"/>
      <c r="U8" s="555"/>
      <c r="V8" s="555"/>
      <c r="W8" s="555"/>
      <c r="X8" s="555"/>
      <c r="Y8" s="555"/>
      <c r="Z8" s="555"/>
      <c r="AA8" s="555"/>
      <c r="AB8" s="552"/>
    </row>
    <row r="9" spans="1:41" s="410" customFormat="1" ht="18" customHeight="1">
      <c r="C9" s="552"/>
      <c r="D9" s="552"/>
      <c r="E9" s="552"/>
      <c r="F9" s="555"/>
      <c r="G9" s="555"/>
      <c r="H9" s="555"/>
      <c r="I9" s="555"/>
      <c r="J9" s="555"/>
      <c r="K9" s="555"/>
      <c r="L9" s="555"/>
      <c r="M9" s="555"/>
      <c r="N9" s="555"/>
      <c r="O9" s="555"/>
      <c r="P9" s="555"/>
      <c r="Q9" s="555"/>
      <c r="R9" s="555"/>
      <c r="S9" s="555"/>
      <c r="T9" s="555"/>
      <c r="U9" s="555"/>
      <c r="V9" s="555"/>
      <c r="W9" s="555"/>
      <c r="X9" s="555"/>
      <c r="Y9" s="555"/>
      <c r="Z9" s="555"/>
      <c r="AA9" s="555"/>
      <c r="AB9" s="552"/>
    </row>
    <row r="10" spans="1:41" s="410" customFormat="1" ht="18" customHeight="1">
      <c r="C10" s="410" t="s">
        <v>12</v>
      </c>
      <c r="F10" s="547" t="str">
        <f>cst_wskakunin_owner2_ZIP</f>
        <v/>
      </c>
      <c r="G10" s="547"/>
      <c r="H10" s="547"/>
      <c r="I10" s="547"/>
      <c r="J10" s="547"/>
      <c r="K10" s="547"/>
      <c r="L10" s="495"/>
    </row>
    <row r="11" spans="1:41" s="410" customFormat="1" ht="18" customHeight="1">
      <c r="C11" s="410" t="s">
        <v>13</v>
      </c>
      <c r="F11" s="547" t="str">
        <f>cst_wskakunin_owner2__address</f>
        <v/>
      </c>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row>
    <row r="12" spans="1:41" s="410" customFormat="1" ht="18" customHeight="1">
      <c r="B12" s="270"/>
      <c r="C12" s="270" t="s">
        <v>14</v>
      </c>
      <c r="D12" s="270"/>
      <c r="E12" s="270"/>
      <c r="F12" s="558" t="str">
        <f>cst_wskakunin_owner2_TEL</f>
        <v/>
      </c>
      <c r="G12" s="558"/>
      <c r="H12" s="558"/>
      <c r="I12" s="558"/>
      <c r="J12" s="558"/>
      <c r="K12" s="558"/>
      <c r="L12" s="558"/>
      <c r="M12" s="558"/>
      <c r="N12" s="558"/>
      <c r="O12" s="270"/>
      <c r="P12" s="270"/>
      <c r="Q12" s="270"/>
      <c r="R12" s="270"/>
      <c r="S12" s="270"/>
      <c r="T12" s="270"/>
      <c r="U12" s="270"/>
      <c r="V12" s="270"/>
      <c r="W12" s="270"/>
      <c r="X12" s="270"/>
      <c r="Y12" s="270"/>
      <c r="Z12" s="270"/>
      <c r="AA12" s="270"/>
      <c r="AB12" s="270"/>
      <c r="AC12" s="270"/>
      <c r="AD12" s="270"/>
      <c r="AE12" s="270"/>
    </row>
    <row r="13" spans="1:41" ht="18" customHeight="1">
      <c r="B13" s="423"/>
      <c r="C13" s="430"/>
      <c r="D13" s="430"/>
      <c r="E13" s="430"/>
      <c r="F13" s="430"/>
      <c r="G13" s="430"/>
      <c r="H13" s="430"/>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N13" s="496" t="str">
        <f ca="1">IF(AND(cst_wsjob_JOB_KIND="中間検査",cst_wskakunin_owner2__space&lt;&gt;"",cst__output_sheetname="取下げ届"),"○","")</f>
        <v/>
      </c>
      <c r="AO13" s="496" t="s">
        <v>3204</v>
      </c>
    </row>
    <row r="14" spans="1:41" s="410" customFormat="1" ht="18" customHeight="1">
      <c r="C14" s="552" t="s">
        <v>11</v>
      </c>
      <c r="D14" s="552"/>
      <c r="E14" s="552"/>
      <c r="F14" s="555" t="str">
        <f>cst_wskakunin_owner3__space3</f>
        <v/>
      </c>
      <c r="G14" s="555"/>
      <c r="H14" s="555"/>
      <c r="I14" s="555"/>
      <c r="J14" s="555"/>
      <c r="K14" s="555"/>
      <c r="L14" s="555"/>
      <c r="M14" s="555"/>
      <c r="N14" s="555"/>
      <c r="O14" s="555"/>
      <c r="P14" s="555"/>
      <c r="Q14" s="555"/>
      <c r="R14" s="555"/>
      <c r="S14" s="555"/>
      <c r="T14" s="555"/>
      <c r="U14" s="555"/>
      <c r="V14" s="555"/>
      <c r="W14" s="555"/>
      <c r="X14" s="555"/>
      <c r="Y14" s="555"/>
      <c r="Z14" s="555"/>
      <c r="AA14" s="555"/>
      <c r="AB14" s="552"/>
    </row>
    <row r="15" spans="1:41" s="410" customFormat="1" ht="18" customHeight="1">
      <c r="C15" s="552"/>
      <c r="D15" s="552"/>
      <c r="E15" s="552"/>
      <c r="F15" s="555"/>
      <c r="G15" s="555"/>
      <c r="H15" s="555"/>
      <c r="I15" s="555"/>
      <c r="J15" s="555"/>
      <c r="K15" s="555"/>
      <c r="L15" s="555"/>
      <c r="M15" s="555"/>
      <c r="N15" s="555"/>
      <c r="O15" s="555"/>
      <c r="P15" s="555"/>
      <c r="Q15" s="555"/>
      <c r="R15" s="555"/>
      <c r="S15" s="555"/>
      <c r="T15" s="555"/>
      <c r="U15" s="555"/>
      <c r="V15" s="555"/>
      <c r="W15" s="555"/>
      <c r="X15" s="555"/>
      <c r="Y15" s="555"/>
      <c r="Z15" s="555"/>
      <c r="AA15" s="555"/>
      <c r="AB15" s="552"/>
    </row>
    <row r="16" spans="1:41" s="410" customFormat="1" ht="18" customHeight="1">
      <c r="C16" s="410" t="s">
        <v>12</v>
      </c>
      <c r="F16" s="547" t="str">
        <f>cst_wskakunin_owner3_ZIP</f>
        <v/>
      </c>
      <c r="G16" s="547"/>
      <c r="H16" s="547"/>
      <c r="I16" s="547"/>
      <c r="J16" s="547"/>
      <c r="K16" s="547"/>
      <c r="L16" s="495"/>
    </row>
    <row r="17" spans="2:31" s="410" customFormat="1" ht="18" customHeight="1">
      <c r="C17" s="410" t="s">
        <v>13</v>
      </c>
      <c r="F17" s="547" t="str">
        <f>cst_wskakunin_owner3__address</f>
        <v/>
      </c>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row>
    <row r="18" spans="2:31" s="410" customFormat="1" ht="18" customHeight="1">
      <c r="B18" s="270"/>
      <c r="C18" s="270" t="s">
        <v>14</v>
      </c>
      <c r="D18" s="270"/>
      <c r="E18" s="270"/>
      <c r="F18" s="558" t="str">
        <f>cst_wskakunin_owner3_TEL</f>
        <v/>
      </c>
      <c r="G18" s="558"/>
      <c r="H18" s="558"/>
      <c r="I18" s="558"/>
      <c r="J18" s="558"/>
      <c r="K18" s="558"/>
      <c r="L18" s="558"/>
      <c r="M18" s="558"/>
      <c r="N18" s="558"/>
      <c r="O18" s="270"/>
      <c r="P18" s="270"/>
      <c r="Q18" s="270"/>
      <c r="R18" s="270"/>
      <c r="S18" s="270"/>
      <c r="T18" s="270"/>
      <c r="U18" s="270"/>
      <c r="V18" s="270"/>
      <c r="W18" s="270"/>
      <c r="X18" s="270"/>
      <c r="Y18" s="270"/>
      <c r="Z18" s="270"/>
      <c r="AA18" s="270"/>
      <c r="AB18" s="270"/>
      <c r="AC18" s="270"/>
      <c r="AD18" s="270"/>
      <c r="AE18" s="270"/>
    </row>
  </sheetData>
  <mergeCells count="13">
    <mergeCell ref="F18:N18"/>
    <mergeCell ref="F12:N12"/>
    <mergeCell ref="C14:E15"/>
    <mergeCell ref="F14:AA15"/>
    <mergeCell ref="AB14:AB15"/>
    <mergeCell ref="F16:K16"/>
    <mergeCell ref="F17:AC17"/>
    <mergeCell ref="F11:AC11"/>
    <mergeCell ref="A1:AG1"/>
    <mergeCell ref="C8:E9"/>
    <mergeCell ref="F8:AA9"/>
    <mergeCell ref="AB8:AB9"/>
    <mergeCell ref="F10:K10"/>
  </mergeCells>
  <phoneticPr fontId="57"/>
  <pageMargins left="0.70866141732283472" right="0.70866141732283472" top="0.74803149606299213" bottom="0.74803149606299213" header="0.31496062992125984" footer="0.31496062992125984"/>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zoomScaleNormal="100" workbookViewId="0"/>
  </sheetViews>
  <sheetFormatPr defaultColWidth="2.625" defaultRowHeight="13.5"/>
  <cols>
    <col min="39" max="39" width="6" hidden="1" customWidth="1"/>
    <col min="40" max="40" width="29.625" hidden="1" customWidth="1"/>
  </cols>
  <sheetData>
    <row r="1" spans="1:40">
      <c r="A1" s="603" t="str">
        <f ca="1">IFERROR(VLOOKUP("○",AM1:AN8,2,FALSE),"")</f>
        <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row>
    <row r="2" spans="1:40">
      <c r="A2" s="430"/>
      <c r="B2" s="430"/>
      <c r="C2" s="430"/>
      <c r="D2" s="430"/>
      <c r="E2" s="430"/>
      <c r="F2" s="430"/>
      <c r="G2" s="430"/>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M2" s="496" t="str">
        <f>IF(AND(cst_wskakunin_owner2__space&lt;&gt;"",cst__output_sheetname="工事監理計画届"),"○","")</f>
        <v/>
      </c>
      <c r="AN2" s="496" t="s">
        <v>3201</v>
      </c>
    </row>
    <row r="3" spans="1:40">
      <c r="A3" s="430"/>
      <c r="B3" s="430"/>
      <c r="C3" s="430"/>
      <c r="D3" s="430"/>
      <c r="E3" s="430"/>
      <c r="F3" s="430"/>
      <c r="G3" s="430"/>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M3" s="496" t="str">
        <f>IF(AND(cst_wskakunin_owner2__space&lt;&gt;"",cst__output_sheetname="軽微な変更説明書"),"○","")</f>
        <v/>
      </c>
      <c r="AN3" s="496" t="s">
        <v>3202</v>
      </c>
    </row>
    <row r="4" spans="1:40">
      <c r="A4" s="423" t="s">
        <v>3198</v>
      </c>
      <c r="B4" s="430"/>
      <c r="C4" s="430"/>
      <c r="D4" s="430"/>
      <c r="E4" s="430"/>
      <c r="F4" s="430"/>
      <c r="G4" s="430"/>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M4" s="496" t="str">
        <f ca="1">IF(AND(OR(cst_wsjob_JOB_KIND="確認申請",cst_wsjob_JOB_KIND="計画変更"),cst_wskakunin_owner2__space&lt;&gt;"",cst__output_sheetname="取下げ届"),"○","")</f>
        <v/>
      </c>
      <c r="AN4" s="496" t="s">
        <v>3203</v>
      </c>
    </row>
    <row r="5" spans="1:40">
      <c r="A5" s="423"/>
      <c r="B5" s="430"/>
      <c r="C5" s="430"/>
      <c r="D5" s="430"/>
      <c r="E5" s="430"/>
      <c r="F5" s="430"/>
      <c r="G5" s="430"/>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M5" s="496" t="str">
        <f ca="1">IF(AND(cst_wsjob_JOB_KIND="中間検査",cst_wskakunin_owner2__space&lt;&gt;"",cst__output_sheetname="取下げ届"),"○","")</f>
        <v/>
      </c>
      <c r="AN5" s="496" t="s">
        <v>3204</v>
      </c>
    </row>
    <row r="6" spans="1:40">
      <c r="A6" s="423"/>
      <c r="B6" s="423"/>
      <c r="C6" s="423"/>
      <c r="D6" s="423" t="s">
        <v>13</v>
      </c>
      <c r="E6" s="423"/>
      <c r="F6" s="860" t="str">
        <f>cst_wskakunin_owner2__address</f>
        <v/>
      </c>
      <c r="G6" s="860"/>
      <c r="H6" s="860"/>
      <c r="I6" s="860"/>
      <c r="J6" s="860"/>
      <c r="K6" s="860"/>
      <c r="L6" s="860"/>
      <c r="M6" s="860"/>
      <c r="N6" s="860"/>
      <c r="O6" s="860"/>
      <c r="P6" s="860"/>
      <c r="Q6" s="860"/>
      <c r="R6" s="860"/>
      <c r="S6" s="860"/>
      <c r="T6" s="860"/>
      <c r="U6" s="860"/>
      <c r="V6" s="860"/>
      <c r="W6" s="860"/>
      <c r="X6" s="860"/>
      <c r="Y6" s="860"/>
      <c r="Z6" s="860"/>
      <c r="AA6" s="860"/>
      <c r="AB6" s="860"/>
      <c r="AC6" s="860"/>
      <c r="AD6" s="860"/>
      <c r="AE6" s="423"/>
      <c r="AF6" s="423"/>
      <c r="AM6" s="496" t="str">
        <f ca="1">IF(AND(cst_wsjob_JOB_KIND="完了検査",cst_wskakunin_owner2__space&lt;&gt;"",cst__output_sheetname="取下げ届"),"○","")</f>
        <v/>
      </c>
      <c r="AN6" s="496" t="s">
        <v>3205</v>
      </c>
    </row>
    <row r="7" spans="1:40">
      <c r="A7" s="423"/>
      <c r="B7" s="423"/>
      <c r="C7" s="423"/>
      <c r="D7" s="423"/>
      <c r="E7" s="423"/>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23"/>
      <c r="AF7" s="423"/>
      <c r="AM7" s="496" t="str">
        <f ca="1">IF(AND(cst_wsjob_JOB_SET_KIND="",cst_wsjob_JOB_KIND="",cst_wskakunin_owner2__space&lt;&gt;"",cst__output_sheetname="取下げ届"),"○","")</f>
        <v/>
      </c>
      <c r="AN7" s="496" t="s">
        <v>3206</v>
      </c>
    </row>
    <row r="8" spans="1:40">
      <c r="A8" s="430"/>
      <c r="B8" s="430"/>
      <c r="C8" s="430"/>
      <c r="D8" s="423" t="s">
        <v>11</v>
      </c>
      <c r="E8" s="423"/>
      <c r="F8" s="609" t="str">
        <f>cst_wskakunin_owner2__space</f>
        <v/>
      </c>
      <c r="G8" s="609"/>
      <c r="H8" s="609"/>
      <c r="I8" s="609"/>
      <c r="J8" s="609"/>
      <c r="K8" s="609"/>
      <c r="L8" s="609"/>
      <c r="M8" s="609"/>
      <c r="N8" s="609"/>
      <c r="O8" s="609"/>
      <c r="P8" s="609"/>
      <c r="Q8" s="609"/>
      <c r="R8" s="609"/>
      <c r="S8" s="609"/>
      <c r="T8" s="609"/>
      <c r="U8" s="609"/>
      <c r="V8" s="609"/>
      <c r="W8" s="609"/>
      <c r="X8" s="609"/>
      <c r="Y8" s="609"/>
      <c r="Z8" s="609"/>
      <c r="AA8" s="609"/>
      <c r="AB8" s="609"/>
      <c r="AC8" s="609"/>
      <c r="AD8" s="609"/>
      <c r="AE8" s="423"/>
      <c r="AF8" s="423"/>
      <c r="AM8" s="496" t="str">
        <f>IF(AND(cst_wskakunin_owner2__space&lt;&gt;"",cst__output_sheetname="計画廃止届"),"○","")</f>
        <v/>
      </c>
      <c r="AN8" s="496" t="s">
        <v>3207</v>
      </c>
    </row>
    <row r="9" spans="1:40">
      <c r="A9" s="430"/>
      <c r="B9" s="430"/>
      <c r="C9" s="430"/>
      <c r="D9" s="430"/>
      <c r="E9" s="430"/>
      <c r="F9" s="429"/>
      <c r="G9" s="429"/>
      <c r="H9" s="486"/>
      <c r="I9" s="486"/>
      <c r="J9" s="486"/>
      <c r="K9" s="486"/>
      <c r="L9" s="486"/>
      <c r="M9" s="486"/>
      <c r="N9" s="486"/>
      <c r="O9" s="486"/>
      <c r="P9" s="486"/>
      <c r="Q9" s="486"/>
      <c r="R9" s="486"/>
      <c r="S9" s="486"/>
      <c r="T9" s="486"/>
      <c r="U9" s="486"/>
      <c r="V9" s="486"/>
      <c r="W9" s="486"/>
      <c r="X9" s="486"/>
      <c r="Y9" s="486"/>
      <c r="Z9" s="486"/>
      <c r="AA9" s="486"/>
      <c r="AB9" s="486"/>
      <c r="AC9" s="486"/>
      <c r="AD9" s="486"/>
      <c r="AE9" s="423"/>
      <c r="AF9" s="423"/>
    </row>
    <row r="10" spans="1:40">
      <c r="A10" s="430"/>
      <c r="B10" s="430"/>
      <c r="C10" s="430"/>
      <c r="D10" s="430"/>
      <c r="E10" s="430"/>
      <c r="F10" s="429"/>
      <c r="G10" s="429"/>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23"/>
      <c r="AF10" s="423"/>
    </row>
    <row r="11" spans="1:40">
      <c r="A11" s="423"/>
      <c r="B11" s="423"/>
      <c r="C11" s="423"/>
      <c r="D11" s="423" t="s">
        <v>13</v>
      </c>
      <c r="E11" s="423"/>
      <c r="F11" s="860" t="str">
        <f>cst_wskakunin_owner3__address</f>
        <v/>
      </c>
      <c r="G11" s="860"/>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423"/>
      <c r="AF11" s="423"/>
    </row>
    <row r="12" spans="1:40">
      <c r="A12" s="423"/>
      <c r="B12" s="423"/>
      <c r="C12" s="423"/>
      <c r="D12" s="423"/>
      <c r="E12" s="423"/>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23"/>
      <c r="AF12" s="423"/>
    </row>
    <row r="13" spans="1:40">
      <c r="A13" s="430"/>
      <c r="B13" s="430"/>
      <c r="C13" s="430"/>
      <c r="D13" s="423" t="s">
        <v>11</v>
      </c>
      <c r="E13" s="423"/>
      <c r="F13" s="609" t="str">
        <f>cst_wskakunin_owner3__space</f>
        <v/>
      </c>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423"/>
      <c r="AF13" s="423"/>
    </row>
    <row r="14" spans="1:40">
      <c r="A14" s="430"/>
      <c r="B14" s="430"/>
      <c r="C14" s="430"/>
      <c r="D14" s="430"/>
      <c r="E14" s="430"/>
      <c r="F14" s="430"/>
      <c r="G14" s="430"/>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row>
    <row r="15" spans="1:40">
      <c r="A15" s="430"/>
      <c r="B15" s="430"/>
      <c r="C15" s="430"/>
      <c r="D15" s="430"/>
      <c r="E15" s="430"/>
      <c r="F15" s="430"/>
      <c r="G15" s="430"/>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row>
    <row r="16" spans="1:40">
      <c r="A16" s="430"/>
      <c r="B16" s="430"/>
      <c r="C16" s="430"/>
      <c r="D16" s="430"/>
      <c r="E16" s="430"/>
      <c r="F16" s="430"/>
      <c r="G16" s="430"/>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row>
  </sheetData>
  <mergeCells count="5">
    <mergeCell ref="F6:AD6"/>
    <mergeCell ref="F8:AD8"/>
    <mergeCell ref="F11:AD11"/>
    <mergeCell ref="F13:AD13"/>
    <mergeCell ref="A1:AG1"/>
  </mergeCells>
  <phoneticPr fontId="57"/>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8"/>
  <sheetViews>
    <sheetView workbookViewId="0">
      <selection activeCell="I18" sqref="I18"/>
    </sheetView>
  </sheetViews>
  <sheetFormatPr defaultColWidth="3.125" defaultRowHeight="13.5"/>
  <cols>
    <col min="2" max="2" width="6.875" customWidth="1"/>
    <col min="3" max="3" width="30.875" bestFit="1" customWidth="1"/>
    <col min="4" max="14" width="6.75" customWidth="1"/>
  </cols>
  <sheetData>
    <row r="9" spans="2:14">
      <c r="B9" s="861" t="s">
        <v>3156</v>
      </c>
      <c r="C9" s="862"/>
      <c r="D9" s="862"/>
      <c r="E9" s="862"/>
      <c r="F9" s="862"/>
      <c r="G9" s="862"/>
      <c r="H9" s="862"/>
      <c r="I9" s="862"/>
      <c r="J9" s="862"/>
      <c r="K9" s="862"/>
      <c r="L9" s="862"/>
      <c r="M9" s="862"/>
      <c r="N9" s="863"/>
    </row>
    <row r="10" spans="2:14">
      <c r="B10" s="864"/>
      <c r="C10" s="865"/>
      <c r="D10" s="865"/>
      <c r="E10" s="865"/>
      <c r="F10" s="865"/>
      <c r="G10" s="865"/>
      <c r="H10" s="865"/>
      <c r="I10" s="865"/>
      <c r="J10" s="865"/>
      <c r="K10" s="865"/>
      <c r="L10" s="865"/>
      <c r="M10" s="865"/>
      <c r="N10" s="866"/>
    </row>
    <row r="11" spans="2:14">
      <c r="B11" s="867"/>
      <c r="C11" s="868"/>
      <c r="D11" s="868"/>
      <c r="E11" s="868"/>
      <c r="F11" s="868"/>
      <c r="G11" s="868"/>
      <c r="H11" s="868"/>
      <c r="I11" s="868"/>
      <c r="J11" s="868"/>
      <c r="K11" s="868"/>
      <c r="L11" s="868"/>
      <c r="M11" s="868"/>
      <c r="N11" s="869"/>
    </row>
    <row r="16" spans="2:14">
      <c r="C16" s="870" t="s">
        <v>3157</v>
      </c>
      <c r="D16" s="871" t="s">
        <v>1310</v>
      </c>
      <c r="E16" s="871"/>
      <c r="F16" s="871"/>
      <c r="G16" s="871" t="s">
        <v>3158</v>
      </c>
      <c r="H16" s="871"/>
      <c r="I16" s="871"/>
    </row>
    <row r="17" spans="3:9">
      <c r="C17" s="870"/>
      <c r="D17" s="434" t="s">
        <v>1298</v>
      </c>
      <c r="E17" s="434" t="s">
        <v>1299</v>
      </c>
      <c r="F17" s="434" t="s">
        <v>2664</v>
      </c>
      <c r="G17" s="434" t="s">
        <v>3159</v>
      </c>
      <c r="H17" s="434" t="s">
        <v>3160</v>
      </c>
      <c r="I17" s="434" t="s">
        <v>3161</v>
      </c>
    </row>
    <row r="18" spans="3:9">
      <c r="C18" s="323" t="s">
        <v>639</v>
      </c>
      <c r="D18" s="419" t="s">
        <v>3015</v>
      </c>
      <c r="E18" s="419" t="s">
        <v>3015</v>
      </c>
      <c r="F18" s="419" t="s">
        <v>3015</v>
      </c>
      <c r="G18" s="419" t="s">
        <v>3015</v>
      </c>
      <c r="H18" s="419" t="s">
        <v>3015</v>
      </c>
      <c r="I18" s="419" t="s">
        <v>3015</v>
      </c>
    </row>
    <row r="19" spans="3:9">
      <c r="C19" s="323" t="s">
        <v>117</v>
      </c>
      <c r="D19" s="419" t="s">
        <v>3162</v>
      </c>
      <c r="E19" s="419" t="s">
        <v>3163</v>
      </c>
      <c r="F19" s="419" t="s">
        <v>3163</v>
      </c>
      <c r="G19" s="419" t="s">
        <v>3163</v>
      </c>
      <c r="H19" s="419" t="s">
        <v>3163</v>
      </c>
      <c r="I19" s="419" t="s">
        <v>3163</v>
      </c>
    </row>
    <row r="20" spans="3:9">
      <c r="C20" s="323" t="s">
        <v>3085</v>
      </c>
      <c r="D20" s="419" t="s">
        <v>3015</v>
      </c>
      <c r="E20" s="419" t="s">
        <v>3163</v>
      </c>
      <c r="F20" s="419" t="s">
        <v>3163</v>
      </c>
      <c r="G20" s="419" t="s">
        <v>3163</v>
      </c>
      <c r="H20" s="419" t="s">
        <v>3163</v>
      </c>
      <c r="I20" s="419" t="s">
        <v>3163</v>
      </c>
    </row>
    <row r="21" spans="3:9">
      <c r="C21" s="323" t="s">
        <v>3164</v>
      </c>
      <c r="D21" s="419" t="s">
        <v>3015</v>
      </c>
      <c r="E21" s="419" t="s">
        <v>3163</v>
      </c>
      <c r="F21" s="419" t="s">
        <v>3163</v>
      </c>
      <c r="G21" s="419" t="s">
        <v>3163</v>
      </c>
      <c r="H21" s="419" t="s">
        <v>3163</v>
      </c>
      <c r="I21" s="419" t="s">
        <v>3163</v>
      </c>
    </row>
    <row r="22" spans="3:9">
      <c r="C22" s="323" t="s">
        <v>2843</v>
      </c>
      <c r="D22" s="419" t="s">
        <v>3015</v>
      </c>
      <c r="E22" s="419" t="s">
        <v>3015</v>
      </c>
      <c r="F22" s="419" t="s">
        <v>3015</v>
      </c>
      <c r="G22" s="419" t="s">
        <v>3163</v>
      </c>
      <c r="H22" s="419" t="s">
        <v>3163</v>
      </c>
      <c r="I22" s="419" t="s">
        <v>3163</v>
      </c>
    </row>
    <row r="23" spans="3:9">
      <c r="C23" s="323" t="s">
        <v>3030</v>
      </c>
      <c r="D23" s="419" t="s">
        <v>3163</v>
      </c>
      <c r="E23" s="419" t="s">
        <v>3163</v>
      </c>
      <c r="F23" s="419" t="s">
        <v>3163</v>
      </c>
      <c r="G23" s="419" t="s">
        <v>3015</v>
      </c>
      <c r="H23" s="419" t="s">
        <v>3015</v>
      </c>
      <c r="I23" s="419" t="s">
        <v>3163</v>
      </c>
    </row>
    <row r="24" spans="3:9">
      <c r="C24" s="323" t="s">
        <v>3086</v>
      </c>
      <c r="D24" s="419" t="s">
        <v>3015</v>
      </c>
      <c r="E24" s="419" t="s">
        <v>3015</v>
      </c>
      <c r="F24" s="419" t="s">
        <v>3015</v>
      </c>
      <c r="G24" s="419" t="s">
        <v>3015</v>
      </c>
      <c r="H24" s="419" t="s">
        <v>3015</v>
      </c>
      <c r="I24" s="419" t="s">
        <v>3015</v>
      </c>
    </row>
    <row r="25" spans="3:9">
      <c r="C25" s="323" t="s">
        <v>2842</v>
      </c>
      <c r="D25" s="419" t="s">
        <v>3015</v>
      </c>
      <c r="E25" s="419" t="s">
        <v>3015</v>
      </c>
      <c r="F25" s="419" t="s">
        <v>3015</v>
      </c>
      <c r="G25" s="419" t="s">
        <v>3163</v>
      </c>
      <c r="H25" s="419" t="s">
        <v>3163</v>
      </c>
      <c r="I25" s="419" t="s">
        <v>3163</v>
      </c>
    </row>
    <row r="26" spans="3:9">
      <c r="C26" s="323" t="s">
        <v>3183</v>
      </c>
      <c r="D26" s="419" t="s">
        <v>3163</v>
      </c>
      <c r="E26" s="419" t="s">
        <v>3163</v>
      </c>
      <c r="F26" s="419" t="s">
        <v>3163</v>
      </c>
      <c r="G26" s="419" t="s">
        <v>3015</v>
      </c>
      <c r="H26" s="419" t="s">
        <v>3015</v>
      </c>
      <c r="I26" s="419" t="s">
        <v>3015</v>
      </c>
    </row>
    <row r="28" spans="3:9">
      <c r="D28" t="s">
        <v>3165</v>
      </c>
    </row>
  </sheetData>
  <mergeCells count="4">
    <mergeCell ref="B9:N11"/>
    <mergeCell ref="C16:C17"/>
    <mergeCell ref="D16:F16"/>
    <mergeCell ref="G16:I16"/>
  </mergeCells>
  <phoneticPr fontId="57"/>
  <conditionalFormatting sqref="D18">
    <cfRule type="expression" dxfId="53" priority="54">
      <formula>AND(cst_wsjob_TARGET_KIND="建築物",OR(cst_wsjob_JOB_KIND="確認申請",cst_wsjob_JOB_KIND="計画変更"),cst__output_sheetname="委任状")</formula>
    </cfRule>
  </conditionalFormatting>
  <conditionalFormatting sqref="E18">
    <cfRule type="expression" dxfId="52" priority="53">
      <formula>AND(OR(wsjob_TARGET_KIND=2,wsjob_TARGET_KIND=3),OR(cst_wsjob_JOB_KIND="確認申請",cst_wsjob_JOB_KIND="計画変更"),cst__output_sheetname="委任状")</formula>
    </cfRule>
  </conditionalFormatting>
  <conditionalFormatting sqref="F18">
    <cfRule type="expression" dxfId="51" priority="52">
      <formula>AND(OR(wsjob_TARGET_KIND=4,wsjob_TARGET_KIND=5),OR(cst_wsjob_JOB_KIND="確認申請",cst_wsjob_JOB_KIND="計画変更"),cst__output_sheetname="委任状")</formula>
    </cfRule>
  </conditionalFormatting>
  <conditionalFormatting sqref="G18">
    <cfRule type="expression" dxfId="50" priority="51">
      <formula>AND(cst_wsjob_JOB_KIND="中間検査",cst__output_sheetname="委任状")</formula>
    </cfRule>
  </conditionalFormatting>
  <conditionalFormatting sqref="H18">
    <cfRule type="expression" dxfId="49" priority="50">
      <formula>AND(cst_wsjob_JOB_KIND="完了検査",cst__output_sheetname="委任状")</formula>
    </cfRule>
  </conditionalFormatting>
  <conditionalFormatting sqref="D19">
    <cfRule type="expression" dxfId="48" priority="49">
      <formula>AND(cst_wsjob_TARGET_KIND="建築物",OR(cst_wsjob_JOB_KIND="確認申請",cst_wsjob_JOB_KIND="計画変更"),cst__output_sheetname="建築工事届")</formula>
    </cfRule>
  </conditionalFormatting>
  <conditionalFormatting sqref="E19">
    <cfRule type="expression" dxfId="47" priority="48">
      <formula>AND(OR(wsjob_TARGET_KIND=2,wsjob_TARGET_KIND=3),OR(cst_wsjob_JOB_KIND="確認申請",cst_wsjob_JOB_KIND="計画変更"),cst__output_sheetname="建築工事届")</formula>
    </cfRule>
  </conditionalFormatting>
  <conditionalFormatting sqref="F19">
    <cfRule type="expression" dxfId="46" priority="47">
      <formula>AND(OR(wsjob_TARGET_KIND=4,wsjob_TARGET_KIND=5),OR(cst_wsjob_JOB_KIND="確認申請",cst_wsjob_JOB_KIND="計画変更"),cst__output_sheetname="建築工事届")</formula>
    </cfRule>
  </conditionalFormatting>
  <conditionalFormatting sqref="G19">
    <cfRule type="expression" dxfId="45" priority="46">
      <formula>AND(cst_wsjob_JOB_KIND="中間検査",cst__output_sheetname="建築工事届")</formula>
    </cfRule>
  </conditionalFormatting>
  <conditionalFormatting sqref="H19">
    <cfRule type="expression" dxfId="44" priority="45">
      <formula>AND(cst_wsjob_JOB_KIND="完了検査",cst__output_sheetname="建築工事届")</formula>
    </cfRule>
  </conditionalFormatting>
  <conditionalFormatting sqref="H20">
    <cfRule type="expression" dxfId="43" priority="44">
      <formula>AND(cst_wsjob_JOB_KIND="完了検査",cst__output_sheetname="工事監理計画届")</formula>
    </cfRule>
  </conditionalFormatting>
  <conditionalFormatting sqref="H21">
    <cfRule type="expression" dxfId="42" priority="43">
      <formula>AND(cst_wsjob_JOB_KIND="完了検査",cst__output_sheetname="浄化槽概要書・通知書_静岡県")</formula>
    </cfRule>
  </conditionalFormatting>
  <conditionalFormatting sqref="H22">
    <cfRule type="expression" dxfId="41" priority="42">
      <formula>AND(cst_wsjob_JOB_KIND="完了検査",cst__output_sheetname="記載事項変更届")</formula>
    </cfRule>
  </conditionalFormatting>
  <conditionalFormatting sqref="H23">
    <cfRule type="expression" dxfId="40" priority="41">
      <formula>AND(cst_wsjob_JOB_KIND="完了検査",cst__output_sheetname="軽微な変更説明書")</formula>
    </cfRule>
  </conditionalFormatting>
  <conditionalFormatting sqref="H24">
    <cfRule type="expression" dxfId="39" priority="40">
      <formula>AND(cst_wsjob_JOB_KIND="完了検査",cst__output_sheetname="取下げ届")</formula>
    </cfRule>
  </conditionalFormatting>
  <conditionalFormatting sqref="H25">
    <cfRule type="expression" dxfId="38" priority="39">
      <formula>AND(cst_wsjob_JOB_KIND="完了検査",cst__output_sheetname="計画廃止届")</formula>
    </cfRule>
  </conditionalFormatting>
  <conditionalFormatting sqref="G20">
    <cfRule type="expression" dxfId="37" priority="38">
      <formula>AND(cst_wsjob_JOB_KIND="中間検査",cst__output_sheetname="工事監理計画届")</formula>
    </cfRule>
  </conditionalFormatting>
  <conditionalFormatting sqref="G21">
    <cfRule type="expression" dxfId="36" priority="37">
      <formula>AND(cst_wsjob_JOB_KIND="中間検査",cst__output_sheetname="浄化槽概要書・通知書_静岡県")</formula>
    </cfRule>
  </conditionalFormatting>
  <conditionalFormatting sqref="G22">
    <cfRule type="expression" dxfId="35" priority="36">
      <formula>AND(cst_wsjob_JOB_KIND="中間検査",cst__output_sheetname="記載事項変更届")</formula>
    </cfRule>
  </conditionalFormatting>
  <conditionalFormatting sqref="G23">
    <cfRule type="expression" dxfId="34" priority="35">
      <formula>AND(cst_wsjob_JOB_KIND="中間検査",cst__output_sheetname="軽微な変更説明書")</formula>
    </cfRule>
  </conditionalFormatting>
  <conditionalFormatting sqref="G24">
    <cfRule type="expression" dxfId="33" priority="34">
      <formula>AND(cst_wsjob_JOB_KIND="中間検査",cst__output_sheetname="取下げ届")</formula>
    </cfRule>
  </conditionalFormatting>
  <conditionalFormatting sqref="G25">
    <cfRule type="expression" dxfId="32" priority="33">
      <formula>AND(cst_wsjob_JOB_KIND="中間検査",cst__output_sheetname="計画廃止届")</formula>
    </cfRule>
  </conditionalFormatting>
  <conditionalFormatting sqref="D20">
    <cfRule type="expression" dxfId="31" priority="32">
      <formula>AND(cst_wsjob_TARGET_KIND="建築物",OR(cst_wsjob_JOB_KIND="確認申請",cst_wsjob_JOB_KIND="計画変更"),cst__output_sheetname="工事監理計画届")</formula>
    </cfRule>
  </conditionalFormatting>
  <conditionalFormatting sqref="D21">
    <cfRule type="expression" dxfId="30" priority="31">
      <formula>AND(cst_wsjob_TARGET_KIND="建築物",OR(cst_wsjob_JOB_KIND="確認申請",cst_wsjob_JOB_KIND="計画変更"),cst__output_sheetname="浄化槽概要書・通知書_静岡県")</formula>
    </cfRule>
  </conditionalFormatting>
  <conditionalFormatting sqref="D22">
    <cfRule type="expression" dxfId="29" priority="30">
      <formula>AND(cst_wsjob_TARGET_KIND="建築物",OR(cst_wsjob_JOB_KIND="確認申請",cst_wsjob_JOB_KIND="計画変更"),cst__output_sheetname="記載事項変更届")</formula>
    </cfRule>
  </conditionalFormatting>
  <conditionalFormatting sqref="D23">
    <cfRule type="expression" dxfId="28" priority="29">
      <formula>AND(cst_wsjob_TARGET_KIND="建築物",OR(cst_wsjob_JOB_KIND="確認申請",cst_wsjob_JOB_KIND="計画変更"),cst__output_sheetname="軽微な変更説明書")</formula>
    </cfRule>
  </conditionalFormatting>
  <conditionalFormatting sqref="D24">
    <cfRule type="expression" dxfId="27" priority="28">
      <formula>AND(cst_wsjob_TARGET_KIND="建築物",OR(cst_wsjob_JOB_KIND="確認申請",cst_wsjob_JOB_KIND="計画変更"),cst__output_sheetname="取下げ届")</formula>
    </cfRule>
  </conditionalFormatting>
  <conditionalFormatting sqref="D25">
    <cfRule type="expression" dxfId="26" priority="27">
      <formula>AND(cst_wsjob_TARGET_KIND="建築物",OR(cst_wsjob_JOB_KIND="確認申請",cst_wsjob_JOB_KIND="計画変更"),cst__output_sheetname="計画廃止届")</formula>
    </cfRule>
  </conditionalFormatting>
  <conditionalFormatting sqref="E20">
    <cfRule type="expression" dxfId="25" priority="26">
      <formula>AND(OR(wsjob_TARGET_KIND=2,wsjob_TARGET_KIND=3),OR(cst_wsjob_JOB_KIND="確認申請",cst_wsjob_JOB_KIND="計画変更"),cst__output_sheetname="工事監理計画届")</formula>
    </cfRule>
  </conditionalFormatting>
  <conditionalFormatting sqref="E21">
    <cfRule type="expression" dxfId="24" priority="25">
      <formula>AND(OR(wsjob_TARGET_KIND=2,wsjob_TARGET_KIND=3),OR(cst_wsjob_JOB_KIND="確認申請",cst_wsjob_JOB_KIND="計画変更"),cst__output_sheetname="浄化槽概要書・通知書_静岡県")</formula>
    </cfRule>
  </conditionalFormatting>
  <conditionalFormatting sqref="E22">
    <cfRule type="expression" dxfId="23" priority="24">
      <formula>AND(OR(wsjob_TARGET_KIND=2,wsjob_TARGET_KIND=3),OR(cst_wsjob_JOB_KIND="確認申請",cst_wsjob_JOB_KIND="計画変更"),cst__output_sheetname="記載事項変更届")</formula>
    </cfRule>
  </conditionalFormatting>
  <conditionalFormatting sqref="E23">
    <cfRule type="expression" dxfId="22" priority="23">
      <formula>AND(OR(wsjob_TARGET_KIND=2,wsjob_TARGET_KIND=3),OR(cst_wsjob_JOB_KIND="確認申請",cst_wsjob_JOB_KIND="計画変更"),cst__output_sheetname="軽微な変更説明書")</formula>
    </cfRule>
  </conditionalFormatting>
  <conditionalFormatting sqref="E24">
    <cfRule type="expression" dxfId="21" priority="22">
      <formula>AND(OR(wsjob_TARGET_KIND=2,wsjob_TARGET_KIND=3),OR(cst_wsjob_JOB_KIND="確認申請",cst_wsjob_JOB_KIND="計画変更"),cst__output_sheetname="取下げ届")</formula>
    </cfRule>
  </conditionalFormatting>
  <conditionalFormatting sqref="E25">
    <cfRule type="expression" dxfId="20" priority="21">
      <formula>AND(OR(wsjob_TARGET_KIND=2,wsjob_TARGET_KIND=3),OR(cst_wsjob_JOB_KIND="確認申請",cst_wsjob_JOB_KIND="計画変更"),cst__output_sheetname="計画廃止届")</formula>
    </cfRule>
  </conditionalFormatting>
  <conditionalFormatting sqref="F20">
    <cfRule type="expression" dxfId="19" priority="20">
      <formula>AND(OR(wsjob_TARGET_KIND=4,wsjob_TARGET_KIND=5),OR(cst_wsjob_JOB_KIND="確認申請",cst_wsjob_JOB_KIND="計画変更"),cst__output_sheetname="工事監理計画届")</formula>
    </cfRule>
  </conditionalFormatting>
  <conditionalFormatting sqref="F21">
    <cfRule type="expression" dxfId="18" priority="19">
      <formula>AND(OR(wsjob_TARGET_KIND=4,wsjob_TARGET_KIND=5),OR(cst_wsjob_JOB_KIND="確認申請",cst_wsjob_JOB_KIND="計画変更"),cst__output_sheetname="浄化槽概要書・通知書_静岡県")</formula>
    </cfRule>
  </conditionalFormatting>
  <conditionalFormatting sqref="F22">
    <cfRule type="expression" dxfId="17" priority="18">
      <formula>AND(OR(wsjob_TARGET_KIND=4,wsjob_TARGET_KIND=5),OR(cst_wsjob_JOB_KIND="確認申請",cst_wsjob_JOB_KIND="計画変更"),cst__output_sheetname="記載事項変更届")</formula>
    </cfRule>
  </conditionalFormatting>
  <conditionalFormatting sqref="F23">
    <cfRule type="expression" dxfId="16" priority="17">
      <formula>AND(OR(wsjob_TARGET_KIND=4,wsjob_TARGET_KIND=5),OR(cst_wsjob_JOB_KIND="確認申請",cst_wsjob_JOB_KIND="計画変更"),cst__output_sheetname="軽微な変更説明書")</formula>
    </cfRule>
  </conditionalFormatting>
  <conditionalFormatting sqref="F24">
    <cfRule type="expression" dxfId="15" priority="16">
      <formula>AND(OR(wsjob_TARGET_KIND=4,wsjob_TARGET_KIND=5),OR(cst_wsjob_JOB_KIND="確認申請",cst_wsjob_JOB_KIND="計画変更"),cst__output_sheetname="取下げ届")</formula>
    </cfRule>
  </conditionalFormatting>
  <conditionalFormatting sqref="F25">
    <cfRule type="expression" dxfId="14" priority="15">
      <formula>AND(OR(wsjob_TARGET_KIND=4,wsjob_TARGET_KIND=5),OR(cst_wsjob_JOB_KIND="確認申請",cst_wsjob_JOB_KIND="計画変更"),cst__output_sheetname="計画廃止届")</formula>
    </cfRule>
  </conditionalFormatting>
  <conditionalFormatting sqref="I18">
    <cfRule type="expression" dxfId="13" priority="14">
      <formula>AND(cst_wsjob_JOB_KIND="その他申請",cst__output_sheetname="委任状")</formula>
    </cfRule>
  </conditionalFormatting>
  <conditionalFormatting sqref="I19">
    <cfRule type="expression" dxfId="12" priority="13">
      <formula>AND(cst_wsjob_JOB_KIND="その他申請",cst__output_sheetname="建築工事届")</formula>
    </cfRule>
  </conditionalFormatting>
  <conditionalFormatting sqref="I20">
    <cfRule type="expression" dxfId="11" priority="12">
      <formula>AND(cst_wsjob_JOB_KIND="その他申請",cst__output_sheetname="工事監理計画届")</formula>
    </cfRule>
  </conditionalFormatting>
  <conditionalFormatting sqref="I21">
    <cfRule type="expression" dxfId="10" priority="11">
      <formula>AND(cst_wsjob_JOB_KIND="その他申請",cst__output_sheetname="浄化槽概要書・通知書_静岡県")</formula>
    </cfRule>
  </conditionalFormatting>
  <conditionalFormatting sqref="I22">
    <cfRule type="expression" dxfId="9" priority="10">
      <formula>AND(cst_wsjob_JOB_KIND="その他申請",cst__output_sheetname="記載事項変更届")</formula>
    </cfRule>
  </conditionalFormatting>
  <conditionalFormatting sqref="I23">
    <cfRule type="expression" dxfId="8" priority="9">
      <formula>AND(cst_wsjob_JOB_KIND="その他申請",cst__output_sheetname="軽微な変更説明書")</formula>
    </cfRule>
  </conditionalFormatting>
  <conditionalFormatting sqref="I24">
    <cfRule type="expression" dxfId="7" priority="8">
      <formula>AND(cst_wsjob_JOB_KIND="その他申請",cst__output_sheetname="取下げ届")</formula>
    </cfRule>
  </conditionalFormatting>
  <conditionalFormatting sqref="I25">
    <cfRule type="expression" dxfId="6" priority="7">
      <formula>AND(cst_wsjob_JOB_KIND="その他申請",cst__output_sheetname="計画廃止届")</formula>
    </cfRule>
  </conditionalFormatting>
  <conditionalFormatting sqref="D26">
    <cfRule type="expression" dxfId="5" priority="6">
      <formula>AND(cst_wsjob_TARGET_KIND="建築物",OR(cst_wsjob_JOB_KIND="確認申請",cst_wsjob_JOB_KIND="計画変更"),cst__output_sheetname="連絡担当者票")</formula>
    </cfRule>
  </conditionalFormatting>
  <conditionalFormatting sqref="E26">
    <cfRule type="expression" dxfId="4" priority="5">
      <formula>AND(OR(wsjob_TARGET_KIND=2,wsjob_TARGET_KIND=3),OR(cst_wsjob_JOB_KIND="確認申請",cst_wsjob_JOB_KIND="計画変更"),cst__output_sheetname="連絡担当者票")</formula>
    </cfRule>
  </conditionalFormatting>
  <conditionalFormatting sqref="F26">
    <cfRule type="expression" dxfId="3" priority="4">
      <formula>AND(OR(wsjob_TARGET_KIND=4,wsjob_TARGET_KIND=5),OR(cst_wsjob_JOB_KIND="確認申請",cst_wsjob_JOB_KIND="計画変更"),cst__output_sheetname="連絡担当者票")</formula>
    </cfRule>
  </conditionalFormatting>
  <conditionalFormatting sqref="G26">
    <cfRule type="expression" dxfId="2" priority="3">
      <formula>AND(cst_wsjob_JOB_KIND="中間検査",cst__output_sheetname="連絡担当者票")</formula>
    </cfRule>
  </conditionalFormatting>
  <conditionalFormatting sqref="H26">
    <cfRule type="expression" dxfId="1" priority="2">
      <formula>AND(cst_wsjob_JOB_KIND="完了検査",cst__output_sheetname="連絡担当者票")</formula>
    </cfRule>
  </conditionalFormatting>
  <conditionalFormatting sqref="I26">
    <cfRule type="expression" dxfId="0" priority="1">
      <formula>AND(cst_wsjob_JOB_KIND="その他申請",cst__output_sheetname="連絡担当者票")</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2046</vt:i4>
      </vt:variant>
    </vt:vector>
  </HeadingPairs>
  <TitlesOfParts>
    <vt:vector size="2054" baseType="lpstr">
      <vt:lpstr>dSHEET</vt:lpstr>
      <vt:lpstr>dSTART</vt:lpstr>
      <vt:lpstr>dAName</vt:lpstr>
      <vt:lpstr>DATA</vt:lpstr>
      <vt:lpstr>cst_DATA</vt:lpstr>
      <vt:lpstr>項目リスト</vt:lpstr>
      <vt:lpstr>連絡担当者票</vt:lpstr>
      <vt:lpstr>第四面</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cst_koujikikan_month</vt:lpstr>
      <vt:lpstr>cst_koujikikan_year</vt:lpstr>
      <vt:lpstr>cst_Pre_Corp__SHINSEI</vt:lpstr>
      <vt:lpstr>cst_Pre_Daihyou__SHINSEI</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cst_wsjob__address</vt:lpstr>
      <vt:lpstr>cst_wsjob_BUILD_ADDRESS</vt:lpstr>
      <vt:lpstr>cst_wsjob_BUILD_KEN</vt:lpstr>
      <vt:lpstr>cst_wsjob_JOB_KIND</vt:lpstr>
      <vt:lpstr>cst_wsjob_JOB_KIND_final_box</vt:lpstr>
      <vt:lpstr>cst_wsjob_JOB_KIND_inter_box</vt:lpstr>
      <vt:lpstr>cst_wsjob_JOB_KIND_kakunin_box</vt:lpstr>
      <vt:lpstr>cst_wsjob_JOB_SET_KIND</vt:lpstr>
      <vt:lpstr>cst_wsjob_KENTIKUBUTU_box</vt:lpstr>
      <vt:lpstr>cst_wsjob_KOUSAKUBUTU_box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cst_wskakunin_koutei_izen01_umu</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cst_wskakunin_koutei01_umu</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cst_wskakunin_owner3__space3</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cst_wskakunin_p4_1_YUKA_MENSEKI_SHINSEI</vt:lpstr>
      <vt:lpstr>cst_wskakunin_p4_2_KAISU_TIKAI</vt:lpstr>
      <vt:lpstr>cst_wskakunin_p4_2_KAISU_TIKAI_NOZOKU</vt:lpstr>
      <vt:lpstr>cst_wskakunin_p4_2_YUKA_MENSEKI_SHINSEI</vt:lpstr>
      <vt:lpstr>cst_wskakunin_p4_3_KAISU_TIKAI</vt:lpstr>
      <vt:lpstr>cst_wskakunin_p4_3_KAISU_TIKAI_NOZOKU</vt:lpstr>
      <vt:lpstr>cst_wskakunin_p4_3_YUKA_MENSEKI_SHINSEI</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cst_wskakunin_SHIKITI_MENSEKI_1_TOTAL_sintiku</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cst_wskakunin_YOUTO_TIIKI_A</vt:lpstr>
      <vt:lpstr>cst_wskakunin_YOUTO_TIIKI_B</vt:lpstr>
      <vt:lpstr>cst_wskakunin_YOUTO_TIIKI_C</vt:lpstr>
      <vt:lpstr>cst_wskakunin_YOUTO_TIIKI_D</vt:lpstr>
      <vt:lpstr>cst_wssonota_owner1__address</vt:lpstr>
      <vt:lpstr>cst_wssonota_owner1__space</vt:lpstr>
      <vt:lpstr>cst_wssonota_owner1_JIMU_NAME</vt:lpstr>
      <vt:lpstr>cst_wssonota_owner1_NAME</vt:lpstr>
      <vt:lpstr>cst_wssonota_owner1_POST</vt:lpstr>
      <vt:lpstr>cst_wssonota_owner1_TEL</vt:lpstr>
      <vt:lpstr>cst_wssonota_owner1_ZIP</vt:lpstr>
      <vt:lpstr>委任状!Print_Area</vt:lpstr>
      <vt:lpstr>記載事項変更届!Print_Area</vt:lpstr>
      <vt:lpstr>計画廃止届!Print_Area</vt:lpstr>
      <vt:lpstr>軽微な変更説明書!Print_Area</vt:lpstr>
      <vt:lpstr>建築工事届!Print_Area</vt:lpstr>
      <vt:lpstr>工事監理計画届!Print_Area</vt:lpstr>
      <vt:lpstr>取下げ届_仮使用!Print_Area</vt:lpstr>
      <vt:lpstr>取下げ届_確認!Print_Area</vt:lpstr>
      <vt:lpstr>取下げ届_完了!Print_Area</vt:lpstr>
      <vt:lpstr>取下げ届_中間!Print_Area</vt:lpstr>
      <vt:lpstr>第四面!Print_Area</vt:lpstr>
      <vt:lpstr>届出者別紙!Print_Area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showsheetflag_dSHEET</vt:lpstr>
      <vt:lpstr>showsheetflag_dSTART</vt:lpstr>
      <vt:lpstr>showsheetflag_NoObject</vt:lpstr>
      <vt:lpstr>showsheetflag_リスト</vt:lpstr>
      <vt:lpstr>showsheetflag_委任状</vt:lpstr>
      <vt:lpstr>showsheetflag_記載事項変更届</vt:lpstr>
      <vt:lpstr>showsheetflag_計画廃止届</vt:lpstr>
      <vt:lpstr>showsheetflag_軽微な変更説明書</vt:lpstr>
      <vt:lpstr>showsheetflag_建築工事届</vt:lpstr>
      <vt:lpstr>showsheetflag_建築工事届_主要用途</vt:lpstr>
      <vt:lpstr>showsheetflag_建築主別紙</vt:lpstr>
      <vt:lpstr>showsheetflag_工事監理計画届</vt:lpstr>
      <vt:lpstr>showsheetflag_項目リスト</vt:lpstr>
      <vt:lpstr>showsheetflag_取下げ届_仮使用</vt:lpstr>
      <vt:lpstr>showsheetflag_取下げ届_確認</vt:lpstr>
      <vt:lpstr>showsheetflag_取下げ届_完了</vt:lpstr>
      <vt:lpstr>showsheetflag_取下げ届_中間</vt:lpstr>
      <vt:lpstr>showsheetflag_浄化槽概要書・通知書_静岡県</vt:lpstr>
      <vt:lpstr>showsheetflag_説明</vt:lpstr>
      <vt:lpstr>showsheetflag_届出者別紙</vt:lpstr>
      <vt:lpstr>showsheetflag_様式未設定</vt:lpstr>
      <vt:lpstr>showsheetflag_用途の区分</vt:lpstr>
      <vt:lpstr>showsheetflag_連絡担当者票</vt:lpstr>
      <vt:lpstr>wsjob__address</vt:lpstr>
      <vt:lpstr>wsjob_BUILD__address</vt:lpstr>
      <vt:lpstr>wsjob_BUILD_ADDRESS</vt:lpstr>
      <vt:lpstr>wsjob_BUILD_KEN</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wskakunin_p4_1_YUKA_MENSEKI_SHINSEI</vt:lpstr>
      <vt:lpstr>wskakunin_p4_2_KAISU_TIKAI</vt:lpstr>
      <vt:lpstr>wskakunin_p4_2_KAISU_TIKAI_NOZOKU</vt:lpstr>
      <vt:lpstr>wskakunin_p4_2_YUKA_MENSEKI_SHINSEI</vt:lpstr>
      <vt:lpstr>wskakunin_p4_3_KAISU_TIKAI</vt:lpstr>
      <vt:lpstr>wskakunin_p4_3_KAISU_TIKAI_NOZOKU</vt:lpstr>
      <vt:lpstr>wskakunin_p4_3_YUKA_MENSEKI_SHINSEI</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wssonota_owner1__address</vt:lpstr>
      <vt:lpstr>wssonota_owner1_JIMU_NAME</vt:lpstr>
      <vt:lpstr>wssonota_owner1_JIMU_NAME_KANA</vt:lpstr>
      <vt:lpstr>wssonota_owner1_NAME</vt:lpstr>
      <vt:lpstr>wssonota_owner1_NAME_KANA</vt:lpstr>
      <vt:lpstr>wssonota_owner1_POST</vt:lpstr>
      <vt:lpstr>wssonota_owner1_POST_KANA</vt:lpstr>
      <vt:lpstr>wssonota_owner1_TEL</vt:lpstr>
      <vt:lpstr>wssonota_owner1_ZIP</vt:lpstr>
      <vt:lpstr>しろくろ</vt:lpstr>
      <vt:lpstr>チェック</vt:lpstr>
      <vt:lpstr>はんとく</vt:lpstr>
      <vt:lpstr>一級</vt:lpstr>
      <vt:lpstr>外壁後退</vt:lpstr>
      <vt:lpstr>確認図形</vt:lpstr>
      <vt:lpstr>確変</vt:lpstr>
      <vt:lpstr>居住産業併用建築物コード</vt:lpstr>
      <vt:lpstr>居住産業併用建築物コード2</vt:lpstr>
      <vt:lpstr>居住産業併用建築物テキスト</vt:lpstr>
      <vt:lpstr>居住産業併用建築物テキスト2</vt:lpstr>
      <vt:lpstr>居住専用建築物コード</vt:lpstr>
      <vt:lpstr>居住専用建築物コード2</vt:lpstr>
      <vt:lpstr>居住専用建築物テキスト</vt:lpstr>
      <vt:lpstr>居住専用建築物テキスト2</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構造</vt:lpstr>
      <vt:lpstr>号</vt:lpstr>
      <vt:lpstr>産業専用建築物コード</vt:lpstr>
      <vt:lpstr>産業専用建築物コード2</vt:lpstr>
      <vt:lpstr>産業専用建築物テキスト</vt:lpstr>
      <vt:lpstr>産業専用建築物テキスト2</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中間検査図形</vt:lpstr>
      <vt:lpstr>都道府県</vt:lpstr>
      <vt:lpstr>特定工程</vt:lpstr>
      <vt:lpstr>二級</vt:lpstr>
      <vt:lpstr>年度</vt:lpstr>
      <vt:lpstr>非表示</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mshizuoka052</cp:lastModifiedBy>
  <cp:lastPrinted>2023-04-07T03:09:23Z</cp:lastPrinted>
  <dcterms:created xsi:type="dcterms:W3CDTF">2016-04-05T10:41:15Z</dcterms:created>
  <dcterms:modified xsi:type="dcterms:W3CDTF">2023-04-07T04:01:58Z</dcterms:modified>
</cp:coreProperties>
</file>